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P:\_2023\Meter Engineering\DLF\DLFs for 2024\Posting\"/>
    </mc:Choice>
  </mc:AlternateContent>
  <xr:revisionPtr revIDLastSave="0" documentId="13_ncr:1_{379A4453-0092-4570-A435-D13AA38B926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1) General Information" sheetId="16" r:id="rId1"/>
    <sheet name="Loss Comparison" sheetId="4" state="hidden" r:id="rId2"/>
    <sheet name="Loss Analysis 1995" sheetId="2" state="hidden" r:id="rId3"/>
    <sheet name="2) Loss Analysis" sheetId="17" r:id="rId4"/>
    <sheet name="3) Loss Equations" sheetId="21" r:id="rId5"/>
    <sheet name="Loss Analysis 2001 Mod" sheetId="3" state="hidden" r:id="rId6"/>
  </sheets>
  <definedNames>
    <definedName name="_xlnm.Print_Area" localSheetId="0">'1) General Information'!$A$1:$K$140</definedName>
    <definedName name="_xlnm.Print_Area" localSheetId="3">'2) Loss Analysis'!$A$1:$W$95</definedName>
    <definedName name="_xlnm.Print_Area" localSheetId="4">'3) Loss Equations'!$A$1:$M$58</definedName>
    <definedName name="_xlnm.Print_Area" localSheetId="2">'Loss Analysis 1995'!$A$1:$T$42</definedName>
    <definedName name="_xlnm.Print_Area" localSheetId="5">'Loss Analysis 2001 Mod'!$A$1:$T$42</definedName>
    <definedName name="_xlnm.Print_Area" localSheetId="1">'Loss Comparison'!$A$1:$M$27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73" i="17" l="1"/>
  <c r="R56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7" i="17"/>
  <c r="F7" i="17"/>
  <c r="E47" i="17"/>
  <c r="E48" i="17"/>
  <c r="D47" i="17"/>
  <c r="G57" i="17"/>
  <c r="F68" i="16"/>
  <c r="F67" i="16"/>
  <c r="G70" i="16"/>
  <c r="F69" i="16"/>
  <c r="D63" i="16"/>
  <c r="E70" i="16"/>
  <c r="D69" i="16"/>
  <c r="D68" i="16"/>
  <c r="D67" i="16"/>
  <c r="C70" i="16"/>
  <c r="B69" i="16"/>
  <c r="B68" i="16"/>
  <c r="B67" i="16"/>
  <c r="S67" i="17"/>
  <c r="C34" i="21"/>
  <c r="C35" i="21"/>
  <c r="C15" i="21"/>
  <c r="C14" i="21"/>
  <c r="S75" i="17"/>
  <c r="C54" i="16"/>
  <c r="S74" i="17"/>
  <c r="A33" i="21"/>
  <c r="E43" i="21"/>
  <c r="E23" i="21"/>
  <c r="E56" i="17"/>
  <c r="E58" i="17" s="1"/>
  <c r="B57" i="17"/>
  <c r="A56" i="17"/>
  <c r="B56" i="17"/>
  <c r="B11" i="17" s="1"/>
  <c r="A11" i="17" s="1"/>
  <c r="I93" i="16"/>
  <c r="D93" i="16"/>
  <c r="C92" i="16"/>
  <c r="D90" i="16"/>
  <c r="E92" i="16"/>
  <c r="D39" i="21"/>
  <c r="B39" i="21"/>
  <c r="I103" i="16"/>
  <c r="H117" i="16"/>
  <c r="S83" i="17"/>
  <c r="C47" i="16"/>
  <c r="S82" i="17"/>
  <c r="C46" i="16"/>
  <c r="S81" i="17"/>
  <c r="C45" i="16"/>
  <c r="G8" i="17"/>
  <c r="H8" i="17" s="1"/>
  <c r="G9" i="17"/>
  <c r="H9" i="17" s="1"/>
  <c r="G10" i="17"/>
  <c r="H10" i="17" s="1"/>
  <c r="G11" i="17"/>
  <c r="H11" i="17" s="1"/>
  <c r="G12" i="17"/>
  <c r="H12" i="17" s="1"/>
  <c r="G14" i="17"/>
  <c r="H14" i="17" s="1"/>
  <c r="G15" i="17"/>
  <c r="H15" i="17" s="1"/>
  <c r="G16" i="17"/>
  <c r="H16" i="17" s="1"/>
  <c r="G18" i="17"/>
  <c r="H18" i="17" s="1"/>
  <c r="G19" i="17"/>
  <c r="H19" i="17" s="1"/>
  <c r="G20" i="17"/>
  <c r="H20" i="17" s="1"/>
  <c r="G22" i="17"/>
  <c r="H22" i="17" s="1"/>
  <c r="G23" i="17"/>
  <c r="H23" i="17" s="1"/>
  <c r="G24" i="17"/>
  <c r="H24" i="17" s="1"/>
  <c r="G26" i="17"/>
  <c r="G28" i="17"/>
  <c r="G29" i="17"/>
  <c r="G30" i="17"/>
  <c r="G31" i="17"/>
  <c r="G32" i="17"/>
  <c r="G33" i="17"/>
  <c r="G35" i="17"/>
  <c r="G36" i="17"/>
  <c r="G37" i="17"/>
  <c r="G38" i="17"/>
  <c r="G39" i="17"/>
  <c r="G40" i="17"/>
  <c r="G42" i="17"/>
  <c r="G43" i="17"/>
  <c r="G44" i="17"/>
  <c r="G46" i="17"/>
  <c r="M76" i="17"/>
  <c r="H76" i="17"/>
  <c r="N76" i="17"/>
  <c r="A13" i="21"/>
  <c r="D45" i="17"/>
  <c r="N82" i="17"/>
  <c r="N81" i="17"/>
  <c r="N77" i="17"/>
  <c r="M82" i="17"/>
  <c r="M81" i="17"/>
  <c r="M77" i="17"/>
  <c r="D46" i="17"/>
  <c r="M84" i="17"/>
  <c r="G84" i="17"/>
  <c r="E85" i="17"/>
  <c r="E84" i="17"/>
  <c r="H85" i="17"/>
  <c r="H84" i="17"/>
  <c r="H83" i="17"/>
  <c r="H82" i="17"/>
  <c r="H81" i="17"/>
  <c r="H77" i="17"/>
  <c r="F85" i="17"/>
  <c r="F84" i="17"/>
  <c r="N85" i="17"/>
  <c r="N84" i="17"/>
  <c r="L85" i="17"/>
  <c r="L84" i="17"/>
  <c r="K85" i="17"/>
  <c r="K84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E89" i="17"/>
  <c r="K89" i="17"/>
  <c r="N87" i="17"/>
  <c r="M87" i="17"/>
  <c r="L87" i="17"/>
  <c r="K87" i="17"/>
  <c r="H87" i="17"/>
  <c r="G87" i="17"/>
  <c r="F87" i="17"/>
  <c r="E87" i="17"/>
  <c r="B36" i="2"/>
  <c r="C36" i="2"/>
  <c r="B6" i="2"/>
  <c r="B7" i="2"/>
  <c r="E36" i="2"/>
  <c r="F36" i="2"/>
  <c r="G36" i="2"/>
  <c r="H5" i="4"/>
  <c r="I36" i="2"/>
  <c r="H40" i="2"/>
  <c r="D40" i="2"/>
  <c r="I39" i="2"/>
  <c r="H39" i="2"/>
  <c r="G39" i="2"/>
  <c r="F39" i="2"/>
  <c r="E39" i="2"/>
  <c r="D39" i="2"/>
  <c r="C39" i="2"/>
  <c r="B39" i="2"/>
  <c r="H36" i="2"/>
  <c r="D36" i="2"/>
  <c r="E5" i="4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E40" i="2"/>
  <c r="I39" i="3"/>
  <c r="I40" i="3"/>
  <c r="I40" i="2"/>
  <c r="G39" i="3"/>
  <c r="G40" i="3"/>
  <c r="G40" i="2"/>
  <c r="F39" i="3"/>
  <c r="F40" i="3"/>
  <c r="C39" i="3"/>
  <c r="C40" i="3"/>
  <c r="C40" i="2"/>
  <c r="B39" i="3"/>
  <c r="B40" i="3"/>
  <c r="H39" i="3"/>
  <c r="E39" i="3"/>
  <c r="D39" i="3"/>
  <c r="I38" i="3"/>
  <c r="H38" i="3"/>
  <c r="G38" i="3"/>
  <c r="F38" i="3"/>
  <c r="E38" i="3"/>
  <c r="D38" i="3"/>
  <c r="C38" i="3"/>
  <c r="B38" i="3"/>
  <c r="H36" i="3"/>
  <c r="I7" i="4"/>
  <c r="D36" i="3"/>
  <c r="E7" i="4"/>
  <c r="B6" i="3"/>
  <c r="B7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E36" i="3"/>
  <c r="L14" i="4"/>
  <c r="H22" i="4"/>
  <c r="H18" i="4"/>
  <c r="J22" i="4"/>
  <c r="J18" i="4"/>
  <c r="J14" i="4"/>
  <c r="H14" i="4"/>
  <c r="F22" i="4"/>
  <c r="F18" i="4"/>
  <c r="F14" i="4"/>
  <c r="D22" i="4"/>
  <c r="D18" i="4"/>
  <c r="D14" i="4"/>
  <c r="C6" i="4"/>
  <c r="J6" i="4"/>
  <c r="I6" i="4"/>
  <c r="H6" i="4"/>
  <c r="G6" i="4"/>
  <c r="F6" i="4"/>
  <c r="E6" i="4"/>
  <c r="D6" i="4"/>
  <c r="I5" i="4"/>
  <c r="G5" i="4"/>
  <c r="D5" i="4"/>
  <c r="C5" i="4"/>
  <c r="L22" i="4"/>
  <c r="L18" i="4"/>
  <c r="F7" i="4"/>
  <c r="U5" i="17"/>
  <c r="G36" i="3"/>
  <c r="H7" i="4"/>
  <c r="B8" i="3"/>
  <c r="B9" i="3"/>
  <c r="C36" i="3"/>
  <c r="D7" i="4"/>
  <c r="I36" i="3"/>
  <c r="J7" i="4"/>
  <c r="C55" i="16"/>
  <c r="C48" i="16"/>
  <c r="F40" i="2"/>
  <c r="F36" i="3"/>
  <c r="I87" i="16"/>
  <c r="G7" i="4"/>
  <c r="B36" i="3"/>
  <c r="B40" i="2"/>
  <c r="J5" i="4"/>
  <c r="D7" i="2"/>
  <c r="B8" i="2"/>
  <c r="B10" i="3"/>
  <c r="F5" i="4"/>
  <c r="C7" i="2"/>
  <c r="C8" i="2"/>
  <c r="C6" i="2"/>
  <c r="C5" i="2"/>
  <c r="D6" i="2"/>
  <c r="H113" i="16"/>
  <c r="F6" i="2"/>
  <c r="C9" i="3"/>
  <c r="C7" i="3"/>
  <c r="C5" i="3"/>
  <c r="C8" i="3"/>
  <c r="C6" i="3"/>
  <c r="C7" i="4"/>
  <c r="C10" i="3"/>
  <c r="D5" i="2"/>
  <c r="E6" i="2"/>
  <c r="F7" i="2"/>
  <c r="E7" i="2"/>
  <c r="B9" i="2"/>
  <c r="D8" i="2"/>
  <c r="B11" i="3"/>
  <c r="C11" i="3"/>
  <c r="D10" i="3"/>
  <c r="D7" i="3"/>
  <c r="D15" i="4"/>
  <c r="D9" i="3"/>
  <c r="G6" i="2"/>
  <c r="D5" i="3"/>
  <c r="F10" i="3"/>
  <c r="E10" i="3"/>
  <c r="B13" i="4"/>
  <c r="B14" i="4"/>
  <c r="M14" i="4"/>
  <c r="B15" i="4"/>
  <c r="B10" i="2"/>
  <c r="C9" i="2"/>
  <c r="D6" i="3"/>
  <c r="B12" i="3"/>
  <c r="D11" i="3"/>
  <c r="F8" i="2"/>
  <c r="E8" i="2"/>
  <c r="G7" i="2"/>
  <c r="E5" i="2"/>
  <c r="D8" i="3"/>
  <c r="G8" i="2"/>
  <c r="H8" i="2"/>
  <c r="I8" i="2"/>
  <c r="J8" i="2"/>
  <c r="E5" i="3"/>
  <c r="F5" i="3"/>
  <c r="E9" i="3"/>
  <c r="F9" i="3"/>
  <c r="E7" i="3"/>
  <c r="E8" i="3"/>
  <c r="B13" i="3"/>
  <c r="C12" i="3"/>
  <c r="D12" i="3"/>
  <c r="E6" i="3"/>
  <c r="F6" i="3"/>
  <c r="G10" i="3"/>
  <c r="H7" i="2"/>
  <c r="I7" i="2"/>
  <c r="J7" i="2"/>
  <c r="E15" i="4"/>
  <c r="B11" i="2"/>
  <c r="C10" i="2"/>
  <c r="I14" i="4"/>
  <c r="E22" i="4"/>
  <c r="E18" i="4"/>
  <c r="K22" i="4"/>
  <c r="E14" i="4"/>
  <c r="I18" i="4"/>
  <c r="G22" i="4"/>
  <c r="K14" i="4"/>
  <c r="K18" i="4"/>
  <c r="G18" i="4"/>
  <c r="I22" i="4"/>
  <c r="G14" i="4"/>
  <c r="F5" i="2"/>
  <c r="E11" i="3"/>
  <c r="F11" i="3"/>
  <c r="D13" i="4"/>
  <c r="E13" i="4"/>
  <c r="D9" i="2"/>
  <c r="H6" i="2"/>
  <c r="I6" i="2"/>
  <c r="J6" i="2"/>
  <c r="M8" i="2"/>
  <c r="M6" i="2"/>
  <c r="E12" i="3"/>
  <c r="M7" i="2"/>
  <c r="G6" i="3"/>
  <c r="H6" i="3"/>
  <c r="I6" i="3"/>
  <c r="H5" i="2"/>
  <c r="I5" i="2"/>
  <c r="G5" i="2"/>
  <c r="F15" i="4"/>
  <c r="G15" i="4"/>
  <c r="G9" i="3"/>
  <c r="H15" i="4"/>
  <c r="I15" i="4"/>
  <c r="B12" i="2"/>
  <c r="D11" i="2"/>
  <c r="C11" i="2"/>
  <c r="B14" i="3"/>
  <c r="D13" i="3"/>
  <c r="C13" i="3"/>
  <c r="H5" i="3"/>
  <c r="I5" i="3"/>
  <c r="G5" i="3"/>
  <c r="H11" i="3"/>
  <c r="I11" i="3"/>
  <c r="G11" i="3"/>
  <c r="E9" i="2"/>
  <c r="J11" i="3"/>
  <c r="D10" i="2"/>
  <c r="H10" i="3"/>
  <c r="I10" i="3"/>
  <c r="J10" i="3"/>
  <c r="F8" i="3"/>
  <c r="F7" i="3"/>
  <c r="J5" i="3"/>
  <c r="M10" i="3"/>
  <c r="F13" i="4"/>
  <c r="G13" i="4"/>
  <c r="E13" i="3"/>
  <c r="F13" i="3"/>
  <c r="E11" i="2"/>
  <c r="F11" i="2"/>
  <c r="F9" i="2"/>
  <c r="B13" i="2"/>
  <c r="C12" i="2"/>
  <c r="D12" i="2"/>
  <c r="F12" i="3"/>
  <c r="E10" i="2"/>
  <c r="G7" i="3"/>
  <c r="B15" i="3"/>
  <c r="D14" i="3"/>
  <c r="C14" i="3"/>
  <c r="H9" i="3"/>
  <c r="I9" i="3"/>
  <c r="J6" i="3"/>
  <c r="M5" i="3"/>
  <c r="G8" i="3"/>
  <c r="M11" i="3"/>
  <c r="J5" i="2"/>
  <c r="E12" i="2"/>
  <c r="F12" i="2"/>
  <c r="G11" i="2"/>
  <c r="J15" i="4"/>
  <c r="K15" i="4"/>
  <c r="J9" i="3"/>
  <c r="B14" i="2"/>
  <c r="C13" i="2"/>
  <c r="G13" i="3"/>
  <c r="E14" i="3"/>
  <c r="F14" i="3"/>
  <c r="H7" i="3"/>
  <c r="I7" i="3"/>
  <c r="J7" i="3"/>
  <c r="B16" i="3"/>
  <c r="D15" i="3"/>
  <c r="C15" i="3"/>
  <c r="M6" i="3"/>
  <c r="H12" i="3"/>
  <c r="I12" i="3"/>
  <c r="G12" i="3"/>
  <c r="M5" i="2"/>
  <c r="H8" i="3"/>
  <c r="I8" i="3"/>
  <c r="J8" i="3"/>
  <c r="F10" i="2"/>
  <c r="G9" i="2"/>
  <c r="M7" i="3"/>
  <c r="M8" i="3"/>
  <c r="H12" i="2"/>
  <c r="I12" i="2"/>
  <c r="G12" i="2"/>
  <c r="H13" i="4"/>
  <c r="I13" i="4"/>
  <c r="G14" i="3"/>
  <c r="H14" i="3"/>
  <c r="I14" i="3"/>
  <c r="B15" i="2"/>
  <c r="C14" i="2"/>
  <c r="E15" i="3"/>
  <c r="F15" i="3"/>
  <c r="D13" i="2"/>
  <c r="H9" i="2"/>
  <c r="I9" i="2"/>
  <c r="J13" i="4"/>
  <c r="K13" i="4"/>
  <c r="L15" i="4"/>
  <c r="M15" i="4"/>
  <c r="M9" i="3"/>
  <c r="J11" i="2"/>
  <c r="G10" i="2"/>
  <c r="J12" i="3"/>
  <c r="B17" i="3"/>
  <c r="C16" i="3"/>
  <c r="D16" i="3"/>
  <c r="H13" i="3"/>
  <c r="I13" i="3"/>
  <c r="J13" i="3"/>
  <c r="H11" i="2"/>
  <c r="I11" i="2"/>
  <c r="M13" i="3"/>
  <c r="G15" i="3"/>
  <c r="E16" i="3"/>
  <c r="F16" i="3"/>
  <c r="F13" i="2"/>
  <c r="E13" i="2"/>
  <c r="M12" i="3"/>
  <c r="B16" i="2"/>
  <c r="C15" i="2"/>
  <c r="J9" i="2"/>
  <c r="J10" i="2"/>
  <c r="J14" i="3"/>
  <c r="M11" i="2"/>
  <c r="B18" i="3"/>
  <c r="C17" i="3"/>
  <c r="D17" i="3"/>
  <c r="H10" i="2"/>
  <c r="I10" i="2"/>
  <c r="D14" i="2"/>
  <c r="J12" i="2"/>
  <c r="E17" i="3"/>
  <c r="F17" i="3"/>
  <c r="E14" i="2"/>
  <c r="M10" i="2"/>
  <c r="G16" i="3"/>
  <c r="H13" i="2"/>
  <c r="I13" i="2"/>
  <c r="J13" i="2"/>
  <c r="G13" i="2"/>
  <c r="M14" i="3"/>
  <c r="M9" i="2"/>
  <c r="L13" i="4"/>
  <c r="M13" i="4"/>
  <c r="B17" i="2"/>
  <c r="C16" i="2"/>
  <c r="J15" i="3"/>
  <c r="M12" i="2"/>
  <c r="B19" i="3"/>
  <c r="C18" i="3"/>
  <c r="D15" i="2"/>
  <c r="H15" i="3"/>
  <c r="I15" i="3"/>
  <c r="M13" i="2"/>
  <c r="D19" i="4"/>
  <c r="E19" i="4"/>
  <c r="B20" i="3"/>
  <c r="D19" i="3"/>
  <c r="C19" i="3"/>
  <c r="J16" i="3"/>
  <c r="F14" i="2"/>
  <c r="B18" i="2"/>
  <c r="C17" i="2"/>
  <c r="H16" i="3"/>
  <c r="I16" i="3"/>
  <c r="H17" i="3"/>
  <c r="I17" i="3"/>
  <c r="G17" i="3"/>
  <c r="M15" i="3"/>
  <c r="E15" i="2"/>
  <c r="D18" i="3"/>
  <c r="D16" i="2"/>
  <c r="M16" i="3"/>
  <c r="E16" i="2"/>
  <c r="E18" i="3"/>
  <c r="F18" i="3"/>
  <c r="B21" i="3"/>
  <c r="C20" i="3"/>
  <c r="B18" i="4"/>
  <c r="M18" i="4"/>
  <c r="B19" i="4"/>
  <c r="B19" i="2"/>
  <c r="B17" i="4"/>
  <c r="C18" i="2"/>
  <c r="E19" i="3"/>
  <c r="F19" i="3"/>
  <c r="F15" i="2"/>
  <c r="J17" i="3"/>
  <c r="D17" i="2"/>
  <c r="H14" i="2"/>
  <c r="I14" i="2"/>
  <c r="G14" i="2"/>
  <c r="G19" i="3"/>
  <c r="H19" i="3"/>
  <c r="I19" i="3"/>
  <c r="J19" i="3"/>
  <c r="G18" i="3"/>
  <c r="H19" i="4"/>
  <c r="I19" i="4"/>
  <c r="B22" i="3"/>
  <c r="D21" i="3"/>
  <c r="C21" i="3"/>
  <c r="F17" i="2"/>
  <c r="E17" i="2"/>
  <c r="F16" i="2"/>
  <c r="M17" i="3"/>
  <c r="D17" i="4"/>
  <c r="E17" i="4"/>
  <c r="B20" i="2"/>
  <c r="C19" i="2"/>
  <c r="D18" i="2"/>
  <c r="J14" i="2"/>
  <c r="G15" i="2"/>
  <c r="D20" i="3"/>
  <c r="F19" i="4"/>
  <c r="G19" i="4"/>
  <c r="M19" i="3"/>
  <c r="G17" i="2"/>
  <c r="H17" i="2"/>
  <c r="I17" i="2"/>
  <c r="J17" i="2"/>
  <c r="E21" i="3"/>
  <c r="F21" i="3"/>
  <c r="G16" i="2"/>
  <c r="H18" i="3"/>
  <c r="I18" i="3"/>
  <c r="E20" i="3"/>
  <c r="H15" i="2"/>
  <c r="I15" i="2"/>
  <c r="J15" i="2"/>
  <c r="E18" i="2"/>
  <c r="B21" i="2"/>
  <c r="C20" i="2"/>
  <c r="B23" i="3"/>
  <c r="C22" i="3"/>
  <c r="M14" i="2"/>
  <c r="D19" i="2"/>
  <c r="M15" i="2"/>
  <c r="H21" i="3"/>
  <c r="I21" i="3"/>
  <c r="G21" i="3"/>
  <c r="M17" i="2"/>
  <c r="F17" i="4"/>
  <c r="G17" i="4"/>
  <c r="B22" i="2"/>
  <c r="C21" i="2"/>
  <c r="F18" i="2"/>
  <c r="F20" i="3"/>
  <c r="J19" i="4"/>
  <c r="K19" i="4"/>
  <c r="J18" i="3"/>
  <c r="B24" i="3"/>
  <c r="K23" i="3"/>
  <c r="C23" i="3"/>
  <c r="D23" i="3"/>
  <c r="E19" i="2"/>
  <c r="D22" i="3"/>
  <c r="D20" i="2"/>
  <c r="H16" i="2"/>
  <c r="I16" i="2"/>
  <c r="J16" i="2"/>
  <c r="M16" i="2"/>
  <c r="E23" i="3"/>
  <c r="F23" i="3"/>
  <c r="E22" i="3"/>
  <c r="F22" i="3"/>
  <c r="F19" i="2"/>
  <c r="G20" i="3"/>
  <c r="B25" i="3"/>
  <c r="K24" i="3"/>
  <c r="C24" i="3"/>
  <c r="G18" i="2"/>
  <c r="E20" i="2"/>
  <c r="L19" i="4"/>
  <c r="M19" i="4"/>
  <c r="M18" i="3"/>
  <c r="N24" i="3"/>
  <c r="K17" i="3"/>
  <c r="L17" i="3"/>
  <c r="K10" i="3"/>
  <c r="L10" i="3"/>
  <c r="K12" i="3"/>
  <c r="L12" i="3"/>
  <c r="K14" i="3"/>
  <c r="L14" i="3"/>
  <c r="K11" i="3"/>
  <c r="L11" i="3"/>
  <c r="K13" i="3"/>
  <c r="L13" i="3"/>
  <c r="K16" i="3"/>
  <c r="L16" i="3"/>
  <c r="K5" i="3"/>
  <c r="L5" i="3"/>
  <c r="K15" i="3"/>
  <c r="L15" i="3"/>
  <c r="K7" i="3"/>
  <c r="L7" i="3"/>
  <c r="K6" i="3"/>
  <c r="L6" i="3"/>
  <c r="K8" i="3"/>
  <c r="L8" i="3"/>
  <c r="K18" i="3"/>
  <c r="L18" i="3"/>
  <c r="K9" i="3"/>
  <c r="L9" i="3"/>
  <c r="K19" i="3"/>
  <c r="L19" i="3"/>
  <c r="K20" i="3"/>
  <c r="K21" i="3"/>
  <c r="K22" i="3"/>
  <c r="D21" i="2"/>
  <c r="B23" i="2"/>
  <c r="C22" i="2"/>
  <c r="D22" i="2"/>
  <c r="J21" i="3"/>
  <c r="E22" i="2"/>
  <c r="F22" i="2"/>
  <c r="G23" i="3"/>
  <c r="H23" i="3"/>
  <c r="I23" i="3"/>
  <c r="H17" i="4"/>
  <c r="I17" i="4"/>
  <c r="G22" i="3"/>
  <c r="M21" i="3"/>
  <c r="L21" i="3"/>
  <c r="F21" i="2"/>
  <c r="E21" i="2"/>
  <c r="B26" i="3"/>
  <c r="K25" i="3"/>
  <c r="N25" i="3"/>
  <c r="C25" i="3"/>
  <c r="B24" i="2"/>
  <c r="C23" i="2"/>
  <c r="F20" i="2"/>
  <c r="J23" i="3"/>
  <c r="H20" i="3"/>
  <c r="I20" i="3"/>
  <c r="J20" i="3"/>
  <c r="R16" i="3"/>
  <c r="R21" i="3"/>
  <c r="R19" i="3"/>
  <c r="R23" i="3"/>
  <c r="P11" i="3"/>
  <c r="R5" i="3"/>
  <c r="P14" i="3"/>
  <c r="P9" i="3"/>
  <c r="R14" i="3"/>
  <c r="P8" i="3"/>
  <c r="P10" i="3"/>
  <c r="R22" i="3"/>
  <c r="P20" i="3"/>
  <c r="S20" i="3"/>
  <c r="P6" i="3"/>
  <c r="P13" i="3"/>
  <c r="R12" i="3"/>
  <c r="P19" i="3"/>
  <c r="R10" i="3"/>
  <c r="R9" i="3"/>
  <c r="R26" i="3"/>
  <c r="R20" i="3"/>
  <c r="P26" i="3"/>
  <c r="S26" i="3"/>
  <c r="R13" i="3"/>
  <c r="P7" i="3"/>
  <c r="R24" i="3"/>
  <c r="R18" i="3"/>
  <c r="P15" i="3"/>
  <c r="P12" i="3"/>
  <c r="P23" i="3"/>
  <c r="S23" i="3"/>
  <c r="R17" i="3"/>
  <c r="R25" i="3"/>
  <c r="R8" i="3"/>
  <c r="P17" i="3"/>
  <c r="P22" i="3"/>
  <c r="S22" i="3"/>
  <c r="P25" i="3"/>
  <c r="S25" i="3"/>
  <c r="R7" i="3"/>
  <c r="R15" i="3"/>
  <c r="R11" i="3"/>
  <c r="P16" i="3"/>
  <c r="R6" i="3"/>
  <c r="P18" i="3"/>
  <c r="S18" i="3"/>
  <c r="T18" i="3"/>
  <c r="P24" i="3"/>
  <c r="S24" i="3"/>
  <c r="P5" i="3"/>
  <c r="P21" i="3"/>
  <c r="S21" i="3"/>
  <c r="T21" i="3"/>
  <c r="N17" i="3"/>
  <c r="O17" i="3"/>
  <c r="N6" i="3"/>
  <c r="O6" i="3"/>
  <c r="N5" i="3"/>
  <c r="O5" i="3"/>
  <c r="N7" i="3"/>
  <c r="O7" i="3"/>
  <c r="N16" i="3"/>
  <c r="O16" i="3"/>
  <c r="N9" i="3"/>
  <c r="O9" i="3"/>
  <c r="N10" i="3"/>
  <c r="O10" i="3"/>
  <c r="N18" i="3"/>
  <c r="O18" i="3"/>
  <c r="N8" i="3"/>
  <c r="O8" i="3"/>
  <c r="N12" i="3"/>
  <c r="O12" i="3"/>
  <c r="N11" i="3"/>
  <c r="O11" i="3"/>
  <c r="N13" i="3"/>
  <c r="O13" i="3"/>
  <c r="N15" i="3"/>
  <c r="O15" i="3"/>
  <c r="N14" i="3"/>
  <c r="O14" i="3"/>
  <c r="N19" i="3"/>
  <c r="O19" i="3"/>
  <c r="N20" i="3"/>
  <c r="N21" i="3"/>
  <c r="N22" i="3"/>
  <c r="N23" i="3"/>
  <c r="H18" i="2"/>
  <c r="I18" i="2"/>
  <c r="J17" i="4"/>
  <c r="K17" i="4"/>
  <c r="D24" i="3"/>
  <c r="G19" i="2"/>
  <c r="L20" i="3"/>
  <c r="M20" i="3"/>
  <c r="T20" i="3"/>
  <c r="J22" i="3"/>
  <c r="G22" i="2"/>
  <c r="H22" i="2"/>
  <c r="I22" i="2"/>
  <c r="F24" i="3"/>
  <c r="E24" i="3"/>
  <c r="S17" i="3"/>
  <c r="T17" i="3"/>
  <c r="Q17" i="3"/>
  <c r="S13" i="3"/>
  <c r="T13" i="3"/>
  <c r="Q13" i="3"/>
  <c r="S9" i="3"/>
  <c r="T9" i="3"/>
  <c r="Q9" i="3"/>
  <c r="S11" i="3"/>
  <c r="T11" i="3"/>
  <c r="Q11" i="3"/>
  <c r="K26" i="3"/>
  <c r="B27" i="3"/>
  <c r="N26" i="3"/>
  <c r="C26" i="3"/>
  <c r="D26" i="3"/>
  <c r="G21" i="2"/>
  <c r="H21" i="2"/>
  <c r="I21" i="2"/>
  <c r="S10" i="3"/>
  <c r="T10" i="3"/>
  <c r="Q10" i="3"/>
  <c r="B25" i="2"/>
  <c r="D24" i="2"/>
  <c r="C24" i="2"/>
  <c r="D25" i="3"/>
  <c r="H22" i="3"/>
  <c r="I22" i="3"/>
  <c r="S5" i="3"/>
  <c r="T5" i="3"/>
  <c r="Q5" i="3"/>
  <c r="Q18" i="3"/>
  <c r="S12" i="3"/>
  <c r="T12" i="3"/>
  <c r="Q12" i="3"/>
  <c r="S7" i="3"/>
  <c r="T7" i="3"/>
  <c r="Q7" i="3"/>
  <c r="S19" i="3"/>
  <c r="T19" i="3"/>
  <c r="Q19" i="3"/>
  <c r="S6" i="3"/>
  <c r="T6" i="3"/>
  <c r="Q6" i="3"/>
  <c r="S8" i="3"/>
  <c r="T8" i="3"/>
  <c r="Q8" i="3"/>
  <c r="S14" i="3"/>
  <c r="T14" i="3"/>
  <c r="Q14" i="3"/>
  <c r="M23" i="3"/>
  <c r="L23" i="3"/>
  <c r="T23" i="3"/>
  <c r="D23" i="2"/>
  <c r="J18" i="2"/>
  <c r="H19" i="2"/>
  <c r="I19" i="2"/>
  <c r="J19" i="2"/>
  <c r="S16" i="3"/>
  <c r="T16" i="3"/>
  <c r="Q16" i="3"/>
  <c r="S15" i="3"/>
  <c r="T15" i="3"/>
  <c r="Q15" i="3"/>
  <c r="G20" i="2"/>
  <c r="J21" i="2"/>
  <c r="O21" i="3"/>
  <c r="Q21" i="3"/>
  <c r="M19" i="2"/>
  <c r="E26" i="3"/>
  <c r="F26" i="3"/>
  <c r="E24" i="2"/>
  <c r="F24" i="2"/>
  <c r="M22" i="3"/>
  <c r="L22" i="3"/>
  <c r="T22" i="3"/>
  <c r="M21" i="2"/>
  <c r="M18" i="2"/>
  <c r="L17" i="4"/>
  <c r="M17" i="4"/>
  <c r="K17" i="2"/>
  <c r="L17" i="2"/>
  <c r="K14" i="2"/>
  <c r="L14" i="2"/>
  <c r="K9" i="2"/>
  <c r="L9" i="2"/>
  <c r="K11" i="2"/>
  <c r="L11" i="2"/>
  <c r="K13" i="2"/>
  <c r="L13" i="2"/>
  <c r="K18" i="2"/>
  <c r="L18" i="2"/>
  <c r="K8" i="2"/>
  <c r="L8" i="2"/>
  <c r="K10" i="2"/>
  <c r="L10" i="2"/>
  <c r="K5" i="2"/>
  <c r="L5" i="2"/>
  <c r="K6" i="2"/>
  <c r="L6" i="2"/>
  <c r="K7" i="2"/>
  <c r="L7" i="2"/>
  <c r="K15" i="2"/>
  <c r="L15" i="2"/>
  <c r="K16" i="2"/>
  <c r="L16" i="2"/>
  <c r="K12" i="2"/>
  <c r="L12" i="2"/>
  <c r="K19" i="2"/>
  <c r="L19" i="2"/>
  <c r="K20" i="2"/>
  <c r="K21" i="2"/>
  <c r="L21" i="2"/>
  <c r="K22" i="2"/>
  <c r="K23" i="2"/>
  <c r="Q23" i="3"/>
  <c r="O23" i="3"/>
  <c r="F23" i="2"/>
  <c r="E23" i="2"/>
  <c r="E25" i="3"/>
  <c r="F25" i="3"/>
  <c r="K24" i="2"/>
  <c r="O20" i="3"/>
  <c r="Q20" i="3"/>
  <c r="H24" i="3"/>
  <c r="I24" i="3"/>
  <c r="G24" i="3"/>
  <c r="H20" i="2"/>
  <c r="I20" i="2"/>
  <c r="J20" i="2"/>
  <c r="N25" i="2"/>
  <c r="K25" i="2"/>
  <c r="B26" i="2"/>
  <c r="C25" i="2"/>
  <c r="B28" i="3"/>
  <c r="K27" i="3"/>
  <c r="N27" i="3"/>
  <c r="C27" i="3"/>
  <c r="D27" i="3"/>
  <c r="R27" i="3"/>
  <c r="P27" i="3"/>
  <c r="S27" i="3"/>
  <c r="J24" i="3"/>
  <c r="J22" i="2"/>
  <c r="E27" i="3"/>
  <c r="F23" i="4"/>
  <c r="G23" i="4"/>
  <c r="L20" i="2"/>
  <c r="M20" i="2"/>
  <c r="G24" i="2"/>
  <c r="H24" i="2"/>
  <c r="I24" i="2"/>
  <c r="G26" i="3"/>
  <c r="H26" i="3"/>
  <c r="I26" i="3"/>
  <c r="G25" i="3"/>
  <c r="H25" i="3"/>
  <c r="I25" i="3"/>
  <c r="J25" i="3"/>
  <c r="G23" i="2"/>
  <c r="H23" i="2"/>
  <c r="I23" i="2"/>
  <c r="J23" i="2"/>
  <c r="O22" i="3"/>
  <c r="Q22" i="3"/>
  <c r="M24" i="3"/>
  <c r="L24" i="3"/>
  <c r="T24" i="3"/>
  <c r="B27" i="2"/>
  <c r="N26" i="2"/>
  <c r="K26" i="2"/>
  <c r="C26" i="2"/>
  <c r="P25" i="2"/>
  <c r="S25" i="2"/>
  <c r="R5" i="2"/>
  <c r="R21" i="2"/>
  <c r="R6" i="2"/>
  <c r="R19" i="2"/>
  <c r="P21" i="2"/>
  <c r="S21" i="2"/>
  <c r="T21" i="2"/>
  <c r="R25" i="2"/>
  <c r="P7" i="2"/>
  <c r="R20" i="2"/>
  <c r="P18" i="2"/>
  <c r="S18" i="2"/>
  <c r="T18" i="2"/>
  <c r="P14" i="2"/>
  <c r="R17" i="2"/>
  <c r="R14" i="2"/>
  <c r="R22" i="2"/>
  <c r="P10" i="2"/>
  <c r="P20" i="2"/>
  <c r="S20" i="2"/>
  <c r="T20" i="2"/>
  <c r="P24" i="2"/>
  <c r="S24" i="2"/>
  <c r="R23" i="2"/>
  <c r="P12" i="2"/>
  <c r="P5" i="2"/>
  <c r="R8" i="2"/>
  <c r="R12" i="2"/>
  <c r="R26" i="2"/>
  <c r="P17" i="2"/>
  <c r="P15" i="2"/>
  <c r="R10" i="2"/>
  <c r="R15" i="2"/>
  <c r="R16" i="2"/>
  <c r="P9" i="2"/>
  <c r="P22" i="2"/>
  <c r="S22" i="2"/>
  <c r="P19" i="2"/>
  <c r="S19" i="2"/>
  <c r="T19" i="2"/>
  <c r="P11" i="2"/>
  <c r="R18" i="2"/>
  <c r="R7" i="2"/>
  <c r="P23" i="2"/>
  <c r="S23" i="2"/>
  <c r="P16" i="2"/>
  <c r="R27" i="2"/>
  <c r="R13" i="2"/>
  <c r="R11" i="2"/>
  <c r="Q18" i="2"/>
  <c r="P26" i="2"/>
  <c r="S26" i="2"/>
  <c r="P27" i="2"/>
  <c r="S27" i="2"/>
  <c r="R24" i="2"/>
  <c r="P6" i="2"/>
  <c r="P8" i="2"/>
  <c r="R9" i="2"/>
  <c r="P13" i="2"/>
  <c r="N17" i="2"/>
  <c r="O17" i="2"/>
  <c r="N5" i="2"/>
  <c r="O5" i="2"/>
  <c r="N7" i="2"/>
  <c r="O7" i="2"/>
  <c r="N8" i="2"/>
  <c r="O8" i="2"/>
  <c r="N10" i="2"/>
  <c r="O10" i="2"/>
  <c r="N12" i="2"/>
  <c r="O12" i="2"/>
  <c r="N16" i="2"/>
  <c r="O16" i="2"/>
  <c r="N15" i="2"/>
  <c r="O15" i="2"/>
  <c r="N14" i="2"/>
  <c r="O14" i="2"/>
  <c r="N6" i="2"/>
  <c r="O6" i="2"/>
  <c r="N9" i="2"/>
  <c r="O9" i="2"/>
  <c r="N11" i="2"/>
  <c r="O11" i="2"/>
  <c r="N13" i="2"/>
  <c r="O13" i="2"/>
  <c r="N18" i="2"/>
  <c r="O18" i="2"/>
  <c r="N19" i="2"/>
  <c r="N20" i="2"/>
  <c r="N21" i="2"/>
  <c r="N22" i="2"/>
  <c r="N23" i="2"/>
  <c r="N24" i="2"/>
  <c r="D25" i="2"/>
  <c r="L22" i="2"/>
  <c r="M22" i="2"/>
  <c r="T22" i="2"/>
  <c r="D23" i="4"/>
  <c r="E23" i="4"/>
  <c r="B29" i="3"/>
  <c r="N28" i="3"/>
  <c r="K28" i="3"/>
  <c r="C28" i="3"/>
  <c r="P28" i="3"/>
  <c r="S28" i="3"/>
  <c r="R28" i="3"/>
  <c r="Q21" i="2"/>
  <c r="O21" i="2"/>
  <c r="O19" i="2"/>
  <c r="Q19" i="2"/>
  <c r="M23" i="2"/>
  <c r="T23" i="2"/>
  <c r="L23" i="2"/>
  <c r="L25" i="3"/>
  <c r="M25" i="3"/>
  <c r="T25" i="3"/>
  <c r="N29" i="3"/>
  <c r="K29" i="3"/>
  <c r="B30" i="3"/>
  <c r="C29" i="3"/>
  <c r="P29" i="3"/>
  <c r="S29" i="3"/>
  <c r="R29" i="3"/>
  <c r="O22" i="2"/>
  <c r="Q22" i="2"/>
  <c r="S9" i="2"/>
  <c r="T9" i="2"/>
  <c r="Q9" i="2"/>
  <c r="S12" i="2"/>
  <c r="T12" i="2"/>
  <c r="Q12" i="2"/>
  <c r="S10" i="2"/>
  <c r="T10" i="2"/>
  <c r="Q10" i="2"/>
  <c r="S14" i="2"/>
  <c r="T14" i="2"/>
  <c r="Q14" i="2"/>
  <c r="B21" i="4"/>
  <c r="K27" i="2"/>
  <c r="N27" i="2"/>
  <c r="C27" i="2"/>
  <c r="B28" i="2"/>
  <c r="B22" i="4"/>
  <c r="M22" i="4"/>
  <c r="B23" i="4"/>
  <c r="D27" i="2"/>
  <c r="O20" i="2"/>
  <c r="Q20" i="2"/>
  <c r="D28" i="3"/>
  <c r="S11" i="2"/>
  <c r="T11" i="2"/>
  <c r="Q11" i="2"/>
  <c r="F25" i="2"/>
  <c r="E25" i="2"/>
  <c r="S8" i="2"/>
  <c r="T8" i="2"/>
  <c r="Q8" i="2"/>
  <c r="S16" i="2"/>
  <c r="T16" i="2"/>
  <c r="Q16" i="2"/>
  <c r="S15" i="2"/>
  <c r="T15" i="2"/>
  <c r="Q15" i="2"/>
  <c r="D26" i="2"/>
  <c r="J24" i="2"/>
  <c r="F27" i="3"/>
  <c r="S13" i="2"/>
  <c r="T13" i="2"/>
  <c r="Q13" i="2"/>
  <c r="S6" i="2"/>
  <c r="T6" i="2"/>
  <c r="Q6" i="2"/>
  <c r="S17" i="2"/>
  <c r="T17" i="2"/>
  <c r="Q17" i="2"/>
  <c r="S5" i="2"/>
  <c r="T5" i="2"/>
  <c r="Q5" i="2"/>
  <c r="S7" i="2"/>
  <c r="T7" i="2"/>
  <c r="Q7" i="2"/>
  <c r="Q24" i="3"/>
  <c r="O24" i="3"/>
  <c r="J26" i="3"/>
  <c r="M24" i="2"/>
  <c r="T24" i="2"/>
  <c r="L24" i="2"/>
  <c r="E28" i="3"/>
  <c r="F28" i="3"/>
  <c r="D29" i="3"/>
  <c r="G25" i="2"/>
  <c r="J25" i="2"/>
  <c r="H25" i="2"/>
  <c r="I25" i="2"/>
  <c r="B31" i="3"/>
  <c r="N30" i="3"/>
  <c r="K30" i="3"/>
  <c r="C30" i="3"/>
  <c r="R30" i="3"/>
  <c r="P30" i="3"/>
  <c r="S30" i="3"/>
  <c r="E26" i="2"/>
  <c r="F26" i="2"/>
  <c r="L26" i="3"/>
  <c r="T26" i="3"/>
  <c r="M26" i="3"/>
  <c r="K28" i="2"/>
  <c r="B29" i="2"/>
  <c r="N28" i="2"/>
  <c r="C28" i="2"/>
  <c r="P28" i="2"/>
  <c r="S28" i="2"/>
  <c r="R28" i="2"/>
  <c r="G27" i="3"/>
  <c r="E27" i="2"/>
  <c r="F21" i="4"/>
  <c r="G21" i="4"/>
  <c r="D21" i="4"/>
  <c r="E21" i="4"/>
  <c r="O25" i="3"/>
  <c r="Q25" i="3"/>
  <c r="O23" i="2"/>
  <c r="Q23" i="2"/>
  <c r="T25" i="2"/>
  <c r="M25" i="2"/>
  <c r="L25" i="2"/>
  <c r="H26" i="2"/>
  <c r="I26" i="2"/>
  <c r="J26" i="2"/>
  <c r="G26" i="2"/>
  <c r="E29" i="3"/>
  <c r="F29" i="3"/>
  <c r="H23" i="4"/>
  <c r="I23" i="4"/>
  <c r="D28" i="2"/>
  <c r="K31" i="3"/>
  <c r="N31" i="3"/>
  <c r="C31" i="3"/>
  <c r="R31" i="3"/>
  <c r="P31" i="3"/>
  <c r="S31" i="3"/>
  <c r="Q26" i="3"/>
  <c r="O26" i="3"/>
  <c r="G28" i="3"/>
  <c r="H27" i="3"/>
  <c r="I27" i="3"/>
  <c r="J23" i="4"/>
  <c r="K23" i="4"/>
  <c r="F27" i="2"/>
  <c r="B30" i="2"/>
  <c r="K29" i="2"/>
  <c r="D29" i="2"/>
  <c r="N29" i="2"/>
  <c r="C29" i="2"/>
  <c r="R29" i="2"/>
  <c r="P29" i="2"/>
  <c r="S29" i="2"/>
  <c r="D30" i="3"/>
  <c r="Q24" i="2"/>
  <c r="O24" i="2"/>
  <c r="T26" i="2"/>
  <c r="M26" i="2"/>
  <c r="L26" i="2"/>
  <c r="E29" i="2"/>
  <c r="F29" i="2"/>
  <c r="G29" i="3"/>
  <c r="C32" i="3"/>
  <c r="H28" i="3"/>
  <c r="I28" i="3"/>
  <c r="J28" i="3"/>
  <c r="Q25" i="2"/>
  <c r="O25" i="2"/>
  <c r="E28" i="2"/>
  <c r="B31" i="2"/>
  <c r="K30" i="2"/>
  <c r="N30" i="2"/>
  <c r="C30" i="2"/>
  <c r="D30" i="2"/>
  <c r="P30" i="2"/>
  <c r="S30" i="2"/>
  <c r="R30" i="2"/>
  <c r="E30" i="3"/>
  <c r="G27" i="2"/>
  <c r="D31" i="3"/>
  <c r="J27" i="3"/>
  <c r="G29" i="2"/>
  <c r="H29" i="2"/>
  <c r="I29" i="2"/>
  <c r="F30" i="2"/>
  <c r="E30" i="2"/>
  <c r="L28" i="3"/>
  <c r="T28" i="3"/>
  <c r="M28" i="3"/>
  <c r="H29" i="3"/>
  <c r="I29" i="3"/>
  <c r="J29" i="3"/>
  <c r="H21" i="4"/>
  <c r="I21" i="4"/>
  <c r="J27" i="2"/>
  <c r="H27" i="2"/>
  <c r="I27" i="2"/>
  <c r="J21" i="4"/>
  <c r="K21" i="4"/>
  <c r="Q26" i="2"/>
  <c r="O26" i="2"/>
  <c r="L23" i="4"/>
  <c r="M23" i="4"/>
  <c r="T27" i="3"/>
  <c r="M27" i="3"/>
  <c r="L27" i="3"/>
  <c r="N31" i="2"/>
  <c r="C31" i="2"/>
  <c r="D31" i="2"/>
  <c r="K31" i="2"/>
  <c r="P31" i="2"/>
  <c r="S31" i="2"/>
  <c r="R31" i="2"/>
  <c r="E31" i="3"/>
  <c r="F31" i="3"/>
  <c r="F30" i="3"/>
  <c r="F28" i="2"/>
  <c r="M29" i="3"/>
  <c r="L29" i="3"/>
  <c r="T29" i="3"/>
  <c r="H31" i="3"/>
  <c r="I31" i="3"/>
  <c r="I32" i="3"/>
  <c r="G31" i="3"/>
  <c r="G32" i="3"/>
  <c r="E31" i="2"/>
  <c r="E32" i="2"/>
  <c r="L21" i="4"/>
  <c r="M21" i="4"/>
  <c r="M27" i="2"/>
  <c r="L27" i="2"/>
  <c r="T27" i="2"/>
  <c r="H28" i="2"/>
  <c r="I28" i="2"/>
  <c r="G28" i="2"/>
  <c r="O27" i="3"/>
  <c r="Q27" i="3"/>
  <c r="O28" i="3"/>
  <c r="Q28" i="3"/>
  <c r="G30" i="2"/>
  <c r="C32" i="2"/>
  <c r="G30" i="3"/>
  <c r="E32" i="3"/>
  <c r="J31" i="3"/>
  <c r="J29" i="2"/>
  <c r="T29" i="2"/>
  <c r="M29" i="2"/>
  <c r="L29" i="2"/>
  <c r="H30" i="3"/>
  <c r="I30" i="3"/>
  <c r="J30" i="3"/>
  <c r="H30" i="2"/>
  <c r="I30" i="2"/>
  <c r="J30" i="2"/>
  <c r="F31" i="2"/>
  <c r="L31" i="3"/>
  <c r="M31" i="3"/>
  <c r="T31" i="3"/>
  <c r="J28" i="2"/>
  <c r="O27" i="2"/>
  <c r="Q27" i="2"/>
  <c r="O29" i="3"/>
  <c r="Q29" i="3"/>
  <c r="M30" i="3"/>
  <c r="T30" i="3"/>
  <c r="L30" i="3"/>
  <c r="L30" i="2"/>
  <c r="M30" i="2"/>
  <c r="T30" i="2"/>
  <c r="M28" i="2"/>
  <c r="T28" i="2"/>
  <c r="L28" i="2"/>
  <c r="G31" i="2"/>
  <c r="H31" i="2"/>
  <c r="I31" i="2"/>
  <c r="I32" i="2"/>
  <c r="Q29" i="2"/>
  <c r="O29" i="2"/>
  <c r="O31" i="3"/>
  <c r="Q31" i="3"/>
  <c r="Q28" i="2"/>
  <c r="O28" i="2"/>
  <c r="G32" i="2"/>
  <c r="J31" i="2"/>
  <c r="O30" i="2"/>
  <c r="Q30" i="2"/>
  <c r="O30" i="3"/>
  <c r="Q30" i="3"/>
  <c r="M31" i="2"/>
  <c r="L31" i="2"/>
  <c r="T31" i="2"/>
  <c r="O31" i="2"/>
  <c r="Q31" i="2"/>
  <c r="D57" i="17"/>
  <c r="C101" i="16"/>
  <c r="G17" i="17"/>
  <c r="H17" i="17" s="1"/>
  <c r="G41" i="17"/>
  <c r="G13" i="17"/>
  <c r="H13" i="17" s="1"/>
  <c r="G45" i="17"/>
  <c r="G27" i="17"/>
  <c r="C63" i="16"/>
  <c r="I14" i="17"/>
  <c r="J14" i="17"/>
  <c r="I17" i="17"/>
  <c r="AA17" i="17"/>
  <c r="I12" i="17"/>
  <c r="B30" i="17"/>
  <c r="A30" i="17" s="1"/>
  <c r="B35" i="17"/>
  <c r="A35" i="17" s="1"/>
  <c r="K18" i="17"/>
  <c r="L18" i="17" s="1"/>
  <c r="I24" i="17"/>
  <c r="J24" i="17"/>
  <c r="T24" i="17"/>
  <c r="U24" i="17"/>
  <c r="AA24" i="17"/>
  <c r="G34" i="17"/>
  <c r="G7" i="17"/>
  <c r="H7" i="17" s="1"/>
  <c r="J17" i="17"/>
  <c r="T17" i="17"/>
  <c r="U17" i="17"/>
  <c r="G21" i="17"/>
  <c r="H21" i="17" s="1"/>
  <c r="G25" i="17"/>
  <c r="H25" i="17" s="1"/>
  <c r="K17" i="17"/>
  <c r="L17" i="17" s="1"/>
  <c r="I9" i="17"/>
  <c r="J9" i="17"/>
  <c r="K9" i="17"/>
  <c r="L9" i="17" s="1"/>
  <c r="K21" i="17"/>
  <c r="L21" i="17" s="1"/>
  <c r="T14" i="17"/>
  <c r="U14" i="17"/>
  <c r="K25" i="17"/>
  <c r="L25" i="17" s="1"/>
  <c r="I18" i="17"/>
  <c r="M17" i="17"/>
  <c r="N17" i="17" s="1"/>
  <c r="M9" i="17"/>
  <c r="N9" i="17" s="1"/>
  <c r="O9" i="17"/>
  <c r="P9" i="17"/>
  <c r="Q9" i="17"/>
  <c r="I25" i="17"/>
  <c r="J25" i="17"/>
  <c r="T25" i="17"/>
  <c r="U25" i="17" s="1"/>
  <c r="AA25" i="17"/>
  <c r="I21" i="17"/>
  <c r="J21" i="17"/>
  <c r="T21" i="17"/>
  <c r="U21" i="17"/>
  <c r="AA21" i="17"/>
  <c r="AA18" i="17"/>
  <c r="J18" i="17"/>
  <c r="T18" i="17"/>
  <c r="U18" i="17"/>
  <c r="M21" i="17"/>
  <c r="N21" i="17" s="1"/>
  <c r="O21" i="17"/>
  <c r="I13" i="17"/>
  <c r="I23" i="17"/>
  <c r="J23" i="17"/>
  <c r="T23" i="17"/>
  <c r="U23" i="17"/>
  <c r="AA23" i="17"/>
  <c r="M25" i="17"/>
  <c r="N25" i="17" s="1"/>
  <c r="O25" i="17"/>
  <c r="P25" i="17"/>
  <c r="Q25" i="17" s="1"/>
  <c r="AB25" i="17"/>
  <c r="M18" i="17"/>
  <c r="N18" i="17" s="1"/>
  <c r="O18" i="17"/>
  <c r="K22" i="17"/>
  <c r="L22" i="17" s="1"/>
  <c r="C53" i="16"/>
  <c r="J12" i="17"/>
  <c r="T12" i="17"/>
  <c r="U12" i="17"/>
  <c r="AA12" i="17"/>
  <c r="K15" i="17"/>
  <c r="L15" i="17" s="1"/>
  <c r="B21" i="17"/>
  <c r="A21" i="17" s="1"/>
  <c r="R21" i="17" s="1"/>
  <c r="B19" i="17"/>
  <c r="A19" i="17" s="1"/>
  <c r="B31" i="17"/>
  <c r="A31" i="17" s="1"/>
  <c r="B16" i="17"/>
  <c r="A16" i="17" s="1"/>
  <c r="B34" i="17"/>
  <c r="A34" i="17" s="1"/>
  <c r="B17" i="17"/>
  <c r="A17" i="17"/>
  <c r="S17" i="17" s="1"/>
  <c r="B40" i="17"/>
  <c r="A40" i="17" s="1"/>
  <c r="B10" i="17"/>
  <c r="A10" i="17" s="1"/>
  <c r="B44" i="17"/>
  <c r="A44" i="17"/>
  <c r="S44" i="17" s="1"/>
  <c r="B43" i="17"/>
  <c r="A43" i="17" s="1"/>
  <c r="B42" i="17"/>
  <c r="A42" i="17" s="1"/>
  <c r="B37" i="17"/>
  <c r="A37" i="17" s="1"/>
  <c r="B47" i="17"/>
  <c r="A47" i="17" s="1"/>
  <c r="B28" i="17"/>
  <c r="A28" i="17"/>
  <c r="S28" i="17" s="1"/>
  <c r="B20" i="17"/>
  <c r="A20" i="17" s="1"/>
  <c r="B24" i="17"/>
  <c r="A24" i="17" s="1"/>
  <c r="B36" i="17"/>
  <c r="A36" i="17"/>
  <c r="B23" i="17"/>
  <c r="A23" i="17" s="1"/>
  <c r="S23" i="17" s="1"/>
  <c r="B18" i="17"/>
  <c r="A18" i="17" s="1"/>
  <c r="B39" i="17"/>
  <c r="A39" i="17" s="1"/>
  <c r="B22" i="17"/>
  <c r="A22" i="17" s="1"/>
  <c r="B12" i="17"/>
  <c r="A12" i="17"/>
  <c r="R12" i="17" s="1"/>
  <c r="B41" i="17"/>
  <c r="A41" i="17" s="1"/>
  <c r="B29" i="17"/>
  <c r="A29" i="17" s="1"/>
  <c r="K7" i="17"/>
  <c r="L7" i="17" s="1"/>
  <c r="K20" i="17"/>
  <c r="L20" i="17" s="1"/>
  <c r="K14" i="17"/>
  <c r="L14" i="17" s="1"/>
  <c r="B58" i="17"/>
  <c r="A57" i="17"/>
  <c r="K19" i="17"/>
  <c r="L19" i="17" s="1"/>
  <c r="E49" i="17"/>
  <c r="D48" i="17"/>
  <c r="B48" i="17"/>
  <c r="A48" i="17" s="1"/>
  <c r="G48" i="17"/>
  <c r="O17" i="17"/>
  <c r="K12" i="17"/>
  <c r="L12" i="17" s="1"/>
  <c r="K11" i="17"/>
  <c r="L11" i="17" s="1"/>
  <c r="AA14" i="17"/>
  <c r="K24" i="17"/>
  <c r="L24" i="17" s="1"/>
  <c r="K10" i="17"/>
  <c r="L10" i="17" s="1"/>
  <c r="K13" i="17"/>
  <c r="L13" i="17" s="1"/>
  <c r="K23" i="17"/>
  <c r="L23" i="17" s="1"/>
  <c r="C52" i="16"/>
  <c r="P21" i="17"/>
  <c r="Q21" i="17"/>
  <c r="AB21" i="17"/>
  <c r="M20" i="17"/>
  <c r="N20" i="17" s="1"/>
  <c r="O20" i="17"/>
  <c r="M11" i="17"/>
  <c r="N11" i="17" s="1"/>
  <c r="O11" i="17"/>
  <c r="M19" i="17"/>
  <c r="N19" i="17" s="1"/>
  <c r="O19" i="17"/>
  <c r="I16" i="17"/>
  <c r="P18" i="17"/>
  <c r="Q18" i="17"/>
  <c r="AB18" i="17"/>
  <c r="M13" i="17"/>
  <c r="N13" i="17" s="1"/>
  <c r="R44" i="17"/>
  <c r="J13" i="17"/>
  <c r="T13" i="17"/>
  <c r="U13" i="17"/>
  <c r="AA13" i="17"/>
  <c r="I7" i="17"/>
  <c r="J7" i="17"/>
  <c r="I22" i="17"/>
  <c r="J22" i="17"/>
  <c r="T22" i="17"/>
  <c r="U22" i="17"/>
  <c r="AA22" i="17"/>
  <c r="I8" i="17"/>
  <c r="J8" i="17"/>
  <c r="M24" i="17"/>
  <c r="N24" i="17" s="1"/>
  <c r="G47" i="17"/>
  <c r="K8" i="17"/>
  <c r="L8" i="17" s="1"/>
  <c r="R57" i="17"/>
  <c r="D49" i="17"/>
  <c r="E50" i="17"/>
  <c r="G49" i="17"/>
  <c r="M14" i="17"/>
  <c r="N14" i="17" s="1"/>
  <c r="S36" i="17"/>
  <c r="R36" i="17"/>
  <c r="M10" i="17"/>
  <c r="N10" i="17" s="1"/>
  <c r="O10" i="17"/>
  <c r="P10" i="17"/>
  <c r="Q10" i="17"/>
  <c r="I10" i="17"/>
  <c r="J10" i="17"/>
  <c r="M15" i="17"/>
  <c r="N15" i="17" s="1"/>
  <c r="O15" i="17"/>
  <c r="I11" i="17"/>
  <c r="M23" i="17"/>
  <c r="N23" i="17" s="1"/>
  <c r="AB17" i="17"/>
  <c r="P17" i="17"/>
  <c r="Q17" i="17"/>
  <c r="I19" i="17"/>
  <c r="I20" i="17"/>
  <c r="J20" i="17"/>
  <c r="T20" i="17"/>
  <c r="U20" i="17"/>
  <c r="AA20" i="17"/>
  <c r="I15" i="17"/>
  <c r="K16" i="17"/>
  <c r="L16" i="17" s="1"/>
  <c r="P19" i="17"/>
  <c r="Q19" i="17"/>
  <c r="AB19" i="17"/>
  <c r="AB11" i="17"/>
  <c r="P11" i="17"/>
  <c r="Q11" i="17"/>
  <c r="P20" i="17"/>
  <c r="Q20" i="17"/>
  <c r="AB20" i="17"/>
  <c r="AB15" i="17"/>
  <c r="P15" i="17"/>
  <c r="Q15" i="17"/>
  <c r="M8" i="17"/>
  <c r="N8" i="17" s="1"/>
  <c r="AA19" i="17"/>
  <c r="J19" i="17"/>
  <c r="T19" i="17"/>
  <c r="U19" i="17"/>
  <c r="D50" i="17"/>
  <c r="E51" i="17"/>
  <c r="B50" i="17"/>
  <c r="A50" i="17" s="1"/>
  <c r="R50" i="17" s="1"/>
  <c r="O13" i="17"/>
  <c r="O23" i="17"/>
  <c r="P23" i="17"/>
  <c r="Q23" i="17"/>
  <c r="AB23" i="17"/>
  <c r="O24" i="17"/>
  <c r="P24" i="17"/>
  <c r="Q24" i="17"/>
  <c r="AB24" i="17"/>
  <c r="M16" i="17"/>
  <c r="N16" i="17" s="1"/>
  <c r="AA11" i="17"/>
  <c r="J11" i="17"/>
  <c r="T11" i="17"/>
  <c r="U11" i="17"/>
  <c r="J15" i="17"/>
  <c r="T15" i="17"/>
  <c r="U15" i="17"/>
  <c r="AA15" i="17"/>
  <c r="M12" i="17"/>
  <c r="N12" i="17" s="1"/>
  <c r="O12" i="17"/>
  <c r="O14" i="17"/>
  <c r="J16" i="17"/>
  <c r="T16" i="17"/>
  <c r="U16" i="17"/>
  <c r="AA16" i="17"/>
  <c r="AB12" i="17"/>
  <c r="P12" i="17"/>
  <c r="Q12" i="17"/>
  <c r="O16" i="17"/>
  <c r="AB13" i="17"/>
  <c r="P13" i="17"/>
  <c r="Q13" i="17"/>
  <c r="O8" i="17"/>
  <c r="P8" i="17"/>
  <c r="Q8" i="17"/>
  <c r="AB14" i="17"/>
  <c r="P14" i="17"/>
  <c r="Q14" i="17"/>
  <c r="G51" i="17"/>
  <c r="H51" i="17" s="1"/>
  <c r="K51" i="17" s="1"/>
  <c r="L51" i="17" s="1"/>
  <c r="D51" i="17"/>
  <c r="B51" i="17"/>
  <c r="A51" i="17" s="1"/>
  <c r="E52" i="17"/>
  <c r="G50" i="17"/>
  <c r="G52" i="17"/>
  <c r="H52" i="17" s="1"/>
  <c r="D52" i="17"/>
  <c r="B52" i="17"/>
  <c r="A52" i="17" s="1"/>
  <c r="R52" i="17" s="1"/>
  <c r="I51" i="17"/>
  <c r="J51" i="17"/>
  <c r="T51" i="17"/>
  <c r="U51" i="17" s="1"/>
  <c r="AA51" i="17"/>
  <c r="AB16" i="17"/>
  <c r="P16" i="17"/>
  <c r="Q16" i="17"/>
  <c r="I52" i="17"/>
  <c r="J52" i="17"/>
  <c r="T52" i="17"/>
  <c r="U52" i="17" s="1"/>
  <c r="AA52" i="17"/>
  <c r="M51" i="17"/>
  <c r="N51" i="17" s="1"/>
  <c r="O51" i="17"/>
  <c r="P51" i="17"/>
  <c r="Q51" i="17" s="1"/>
  <c r="AB51" i="17"/>
  <c r="K52" i="17"/>
  <c r="L52" i="17" s="1"/>
  <c r="M52" i="17"/>
  <c r="N52" i="17" s="1"/>
  <c r="O52" i="17"/>
  <c r="P52" i="17"/>
  <c r="Q52" i="17" s="1"/>
  <c r="AB52" i="17"/>
  <c r="S47" i="17" l="1"/>
  <c r="R47" i="17"/>
  <c r="R43" i="17"/>
  <c r="S43" i="17"/>
  <c r="R35" i="17"/>
  <c r="S35" i="17"/>
  <c r="S34" i="17"/>
  <c r="R34" i="17"/>
  <c r="R19" i="17"/>
  <c r="S19" i="17"/>
  <c r="S22" i="17"/>
  <c r="R22" i="17"/>
  <c r="R16" i="17"/>
  <c r="S16" i="17"/>
  <c r="R41" i="17"/>
  <c r="S41" i="17"/>
  <c r="R40" i="17"/>
  <c r="S40" i="17"/>
  <c r="S48" i="17"/>
  <c r="R48" i="17"/>
  <c r="S37" i="17"/>
  <c r="R37" i="17"/>
  <c r="R20" i="17"/>
  <c r="S20" i="17"/>
  <c r="R30" i="17"/>
  <c r="S30" i="17"/>
  <c r="R11" i="17"/>
  <c r="S11" i="17"/>
  <c r="R18" i="17"/>
  <c r="S18" i="17"/>
  <c r="S31" i="17"/>
  <c r="R31" i="17"/>
  <c r="R39" i="17"/>
  <c r="S39" i="17"/>
  <c r="S42" i="17"/>
  <c r="R42" i="17"/>
  <c r="R51" i="17"/>
  <c r="S51" i="17"/>
  <c r="S29" i="17"/>
  <c r="R29" i="17"/>
  <c r="R24" i="17"/>
  <c r="S24" i="17"/>
  <c r="H57" i="17"/>
  <c r="S50" i="17"/>
  <c r="B49" i="17"/>
  <c r="A49" i="17" s="1"/>
  <c r="S12" i="17"/>
  <c r="B45" i="17"/>
  <c r="A45" i="17" s="1"/>
  <c r="B25" i="17"/>
  <c r="A25" i="17" s="1"/>
  <c r="B26" i="17"/>
  <c r="A26" i="17" s="1"/>
  <c r="B15" i="17"/>
  <c r="A15" i="17" s="1"/>
  <c r="B14" i="17"/>
  <c r="A14" i="17" s="1"/>
  <c r="B13" i="17"/>
  <c r="A13" i="17" s="1"/>
  <c r="D56" i="17"/>
  <c r="F59" i="17"/>
  <c r="R17" i="17"/>
  <c r="R28" i="17"/>
  <c r="B62" i="17"/>
  <c r="B27" i="17"/>
  <c r="A27" i="17" s="1"/>
  <c r="B32" i="17"/>
  <c r="A32" i="17" s="1"/>
  <c r="B33" i="17"/>
  <c r="A33" i="17" s="1"/>
  <c r="B46" i="17"/>
  <c r="A46" i="17" s="1"/>
  <c r="B38" i="17"/>
  <c r="A38" i="17" s="1"/>
  <c r="F56" i="17"/>
  <c r="R23" i="17"/>
  <c r="S21" i="17"/>
  <c r="S52" i="17"/>
  <c r="S57" i="17"/>
  <c r="S56" i="17"/>
  <c r="H34" i="17"/>
  <c r="H27" i="17"/>
  <c r="H39" i="17"/>
  <c r="H38" i="17"/>
  <c r="H37" i="17"/>
  <c r="H36" i="17"/>
  <c r="H35" i="17"/>
  <c r="H33" i="17"/>
  <c r="H32" i="17"/>
  <c r="H31" i="17"/>
  <c r="H30" i="17"/>
  <c r="H29" i="17"/>
  <c r="H28" i="17"/>
  <c r="H26" i="17"/>
  <c r="H50" i="17"/>
  <c r="H49" i="17"/>
  <c r="H47" i="17"/>
  <c r="H48" i="17"/>
  <c r="H45" i="17"/>
  <c r="H41" i="17"/>
  <c r="H46" i="17"/>
  <c r="H44" i="17"/>
  <c r="H43" i="17"/>
  <c r="H42" i="17"/>
  <c r="H40" i="17"/>
  <c r="M7" i="17"/>
  <c r="N7" i="17" s="1"/>
  <c r="O7" i="17"/>
  <c r="P7" i="17" s="1"/>
  <c r="Q7" i="17" s="1"/>
  <c r="M22" i="17"/>
  <c r="N22" i="17" s="1"/>
  <c r="O22" i="17"/>
  <c r="S32" i="17" l="1"/>
  <c r="R32" i="17"/>
  <c r="R49" i="17"/>
  <c r="S49" i="17"/>
  <c r="I57" i="17"/>
  <c r="J57" i="17" s="1"/>
  <c r="S45" i="17"/>
  <c r="R45" i="17"/>
  <c r="G56" i="17"/>
  <c r="J61" i="17"/>
  <c r="R14" i="17"/>
  <c r="S14" i="17"/>
  <c r="R15" i="17"/>
  <c r="S15" i="17"/>
  <c r="S13" i="17"/>
  <c r="R13" i="17"/>
  <c r="S27" i="17"/>
  <c r="R27" i="17"/>
  <c r="S38" i="17"/>
  <c r="R38" i="17"/>
  <c r="S46" i="17"/>
  <c r="R46" i="17"/>
  <c r="R26" i="17"/>
  <c r="S26" i="17"/>
  <c r="S33" i="17"/>
  <c r="R33" i="17"/>
  <c r="R25" i="17"/>
  <c r="S25" i="17"/>
  <c r="K57" i="17"/>
  <c r="I26" i="17"/>
  <c r="J26" i="17" s="1"/>
  <c r="T26" i="17" s="1"/>
  <c r="K26" i="17"/>
  <c r="I28" i="17"/>
  <c r="J28" i="17" s="1"/>
  <c r="T28" i="17" s="1"/>
  <c r="K28" i="17"/>
  <c r="I29" i="17"/>
  <c r="J29" i="17" s="1"/>
  <c r="T29" i="17" s="1"/>
  <c r="K29" i="17"/>
  <c r="I30" i="17"/>
  <c r="J30" i="17" s="1"/>
  <c r="T30" i="17" s="1"/>
  <c r="K30" i="17"/>
  <c r="I31" i="17"/>
  <c r="J31" i="17" s="1"/>
  <c r="T31" i="17" s="1"/>
  <c r="K31" i="17"/>
  <c r="I32" i="17"/>
  <c r="J32" i="17" s="1"/>
  <c r="T32" i="17" s="1"/>
  <c r="K32" i="17"/>
  <c r="I33" i="17"/>
  <c r="J33" i="17" s="1"/>
  <c r="T33" i="17" s="1"/>
  <c r="K33" i="17"/>
  <c r="I35" i="17"/>
  <c r="J35" i="17" s="1"/>
  <c r="T35" i="17" s="1"/>
  <c r="K35" i="17"/>
  <c r="I36" i="17"/>
  <c r="J36" i="17" s="1"/>
  <c r="T36" i="17" s="1"/>
  <c r="K36" i="17"/>
  <c r="I37" i="17"/>
  <c r="J37" i="17" s="1"/>
  <c r="T37" i="17" s="1"/>
  <c r="K37" i="17"/>
  <c r="I38" i="17"/>
  <c r="J38" i="17" s="1"/>
  <c r="T38" i="17" s="1"/>
  <c r="K38" i="17"/>
  <c r="I39" i="17"/>
  <c r="J39" i="17" s="1"/>
  <c r="T39" i="17" s="1"/>
  <c r="K39" i="17"/>
  <c r="I27" i="17"/>
  <c r="J27" i="17" s="1"/>
  <c r="T27" i="17" s="1"/>
  <c r="K27" i="17"/>
  <c r="I34" i="17"/>
  <c r="J34" i="17" s="1"/>
  <c r="T34" i="17" s="1"/>
  <c r="K34" i="17"/>
  <c r="I40" i="17"/>
  <c r="J40" i="17" s="1"/>
  <c r="T40" i="17" s="1"/>
  <c r="K40" i="17"/>
  <c r="I42" i="17"/>
  <c r="J42" i="17" s="1"/>
  <c r="T42" i="17" s="1"/>
  <c r="K42" i="17"/>
  <c r="I43" i="17"/>
  <c r="J43" i="17" s="1"/>
  <c r="T43" i="17" s="1"/>
  <c r="K43" i="17"/>
  <c r="I44" i="17"/>
  <c r="J44" i="17" s="1"/>
  <c r="T44" i="17" s="1"/>
  <c r="K44" i="17"/>
  <c r="I46" i="17"/>
  <c r="J46" i="17" s="1"/>
  <c r="T46" i="17" s="1"/>
  <c r="K46" i="17"/>
  <c r="I41" i="17"/>
  <c r="J41" i="17" s="1"/>
  <c r="T41" i="17" s="1"/>
  <c r="K41" i="17"/>
  <c r="I45" i="17"/>
  <c r="J45" i="17" s="1"/>
  <c r="T45" i="17" s="1"/>
  <c r="K45" i="17"/>
  <c r="I48" i="17"/>
  <c r="J48" i="17" s="1"/>
  <c r="T48" i="17" s="1"/>
  <c r="K48" i="17"/>
  <c r="I47" i="17"/>
  <c r="J47" i="17" s="1"/>
  <c r="T47" i="17" s="1"/>
  <c r="K47" i="17"/>
  <c r="L47" i="17" s="1"/>
  <c r="I49" i="17"/>
  <c r="J49" i="17" s="1"/>
  <c r="T49" i="17" s="1"/>
  <c r="K49" i="17"/>
  <c r="I50" i="17"/>
  <c r="J50" i="17" s="1"/>
  <c r="T50" i="17" s="1"/>
  <c r="K50" i="17"/>
  <c r="P22" i="17"/>
  <c r="Q22" i="17" s="1"/>
  <c r="AB22" i="17"/>
  <c r="H56" i="17" l="1"/>
  <c r="K56" i="17"/>
  <c r="B61" i="17"/>
  <c r="L57" i="17"/>
  <c r="U50" i="17"/>
  <c r="AA50" i="17" s="1"/>
  <c r="U49" i="17"/>
  <c r="AA49" i="17" s="1"/>
  <c r="U47" i="17"/>
  <c r="AA47" i="17" s="1"/>
  <c r="U48" i="17"/>
  <c r="AA48" i="17" s="1"/>
  <c r="U45" i="17"/>
  <c r="AA45" i="17" s="1"/>
  <c r="U41" i="17"/>
  <c r="AA41" i="17" s="1"/>
  <c r="U46" i="17"/>
  <c r="AA46" i="17" s="1"/>
  <c r="U44" i="17"/>
  <c r="AA44" i="17" s="1"/>
  <c r="U43" i="17"/>
  <c r="AA43" i="17" s="1"/>
  <c r="U42" i="17"/>
  <c r="AA42" i="17" s="1"/>
  <c r="U40" i="17"/>
  <c r="AA40" i="17" s="1"/>
  <c r="U34" i="17"/>
  <c r="AA34" i="17" s="1"/>
  <c r="U27" i="17"/>
  <c r="AA27" i="17" s="1"/>
  <c r="U39" i="17"/>
  <c r="AA39" i="17" s="1"/>
  <c r="U38" i="17"/>
  <c r="AA38" i="17" s="1"/>
  <c r="U37" i="17"/>
  <c r="AA37" i="17" s="1"/>
  <c r="U36" i="17"/>
  <c r="AA36" i="17" s="1"/>
  <c r="U35" i="17"/>
  <c r="AA35" i="17" s="1"/>
  <c r="U33" i="17"/>
  <c r="AA33" i="17" s="1"/>
  <c r="U32" i="17"/>
  <c r="AA32" i="17" s="1"/>
  <c r="U31" i="17"/>
  <c r="AA31" i="17" s="1"/>
  <c r="U30" i="17"/>
  <c r="AA30" i="17" s="1"/>
  <c r="U29" i="17"/>
  <c r="AA29" i="17" s="1"/>
  <c r="U28" i="17"/>
  <c r="AA28" i="17" s="1"/>
  <c r="U26" i="17"/>
  <c r="AA26" i="17" s="1"/>
  <c r="L34" i="17"/>
  <c r="M34" i="17"/>
  <c r="N34" i="17" s="1"/>
  <c r="L27" i="17"/>
  <c r="M27" i="17"/>
  <c r="N27" i="17" s="1"/>
  <c r="L39" i="17"/>
  <c r="M39" i="17"/>
  <c r="N39" i="17" s="1"/>
  <c r="L38" i="17"/>
  <c r="M38" i="17"/>
  <c r="N38" i="17" s="1"/>
  <c r="L37" i="17"/>
  <c r="M37" i="17"/>
  <c r="N37" i="17" s="1"/>
  <c r="L36" i="17"/>
  <c r="M36" i="17"/>
  <c r="N36" i="17" s="1"/>
  <c r="L35" i="17"/>
  <c r="M35" i="17"/>
  <c r="N35" i="17" s="1"/>
  <c r="L33" i="17"/>
  <c r="M33" i="17"/>
  <c r="N33" i="17" s="1"/>
  <c r="L32" i="17"/>
  <c r="M32" i="17"/>
  <c r="N32" i="17" s="1"/>
  <c r="L31" i="17"/>
  <c r="M31" i="17"/>
  <c r="N31" i="17" s="1"/>
  <c r="L30" i="17"/>
  <c r="M30" i="17"/>
  <c r="N30" i="17" s="1"/>
  <c r="L29" i="17"/>
  <c r="M29" i="17"/>
  <c r="N29" i="17" s="1"/>
  <c r="L28" i="17"/>
  <c r="M28" i="17"/>
  <c r="N28" i="17" s="1"/>
  <c r="L26" i="17"/>
  <c r="M26" i="17"/>
  <c r="N26" i="17" s="1"/>
  <c r="L50" i="17"/>
  <c r="M50" i="17"/>
  <c r="N50" i="17" s="1"/>
  <c r="L49" i="17"/>
  <c r="M49" i="17"/>
  <c r="N49" i="17" s="1"/>
  <c r="M47" i="17"/>
  <c r="N47" i="17" s="1"/>
  <c r="L48" i="17"/>
  <c r="M48" i="17"/>
  <c r="N48" i="17" s="1"/>
  <c r="L45" i="17"/>
  <c r="M45" i="17"/>
  <c r="N45" i="17" s="1"/>
  <c r="L41" i="17"/>
  <c r="M41" i="17"/>
  <c r="N41" i="17" s="1"/>
  <c r="L46" i="17"/>
  <c r="M46" i="17"/>
  <c r="N46" i="17" s="1"/>
  <c r="L44" i="17"/>
  <c r="M44" i="17"/>
  <c r="N44" i="17" s="1"/>
  <c r="L43" i="17"/>
  <c r="M43" i="17"/>
  <c r="N43" i="17" s="1"/>
  <c r="L42" i="17"/>
  <c r="M42" i="17"/>
  <c r="N42" i="17" s="1"/>
  <c r="L40" i="17"/>
  <c r="M40" i="17"/>
  <c r="N40" i="17" s="1"/>
  <c r="L56" i="17" l="1"/>
  <c r="M56" i="17" s="1"/>
  <c r="N56" i="17" s="1"/>
  <c r="O56" i="17" s="1"/>
  <c r="P56" i="17" s="1"/>
  <c r="M57" i="17"/>
  <c r="N57" i="17" s="1"/>
  <c r="O57" i="17" s="1"/>
  <c r="P57" i="17" s="1"/>
  <c r="I56" i="17"/>
  <c r="J56" i="17" s="1"/>
  <c r="O26" i="17"/>
  <c r="P26" i="17" s="1"/>
  <c r="O28" i="17"/>
  <c r="P28" i="17" s="1"/>
  <c r="O29" i="17"/>
  <c r="P29" i="17" s="1"/>
  <c r="O30" i="17"/>
  <c r="P30" i="17" s="1"/>
  <c r="O31" i="17"/>
  <c r="P31" i="17" s="1"/>
  <c r="O32" i="17"/>
  <c r="P32" i="17" s="1"/>
  <c r="O33" i="17"/>
  <c r="P33" i="17" s="1"/>
  <c r="O35" i="17"/>
  <c r="P35" i="17" s="1"/>
  <c r="O36" i="17"/>
  <c r="P36" i="17" s="1"/>
  <c r="O37" i="17"/>
  <c r="P37" i="17" s="1"/>
  <c r="O38" i="17"/>
  <c r="P38" i="17" s="1"/>
  <c r="O39" i="17"/>
  <c r="P39" i="17" s="1"/>
  <c r="O27" i="17"/>
  <c r="P27" i="17" s="1"/>
  <c r="O34" i="17"/>
  <c r="P34" i="17" s="1"/>
  <c r="O40" i="17"/>
  <c r="P40" i="17" s="1"/>
  <c r="O42" i="17"/>
  <c r="P42" i="17" s="1"/>
  <c r="O43" i="17"/>
  <c r="P43" i="17" s="1"/>
  <c r="O44" i="17"/>
  <c r="P44" i="17" s="1"/>
  <c r="O46" i="17"/>
  <c r="P46" i="17" s="1"/>
  <c r="O41" i="17"/>
  <c r="P41" i="17" s="1"/>
  <c r="O45" i="17"/>
  <c r="P45" i="17" s="1"/>
  <c r="O48" i="17"/>
  <c r="P48" i="17" s="1"/>
  <c r="O47" i="17"/>
  <c r="P47" i="17" s="1"/>
  <c r="O49" i="17"/>
  <c r="P49" i="17" s="1"/>
  <c r="O50" i="17"/>
  <c r="P50" i="17" s="1"/>
  <c r="Q50" i="17" l="1"/>
  <c r="AB50" i="17" s="1"/>
  <c r="Q49" i="17"/>
  <c r="AB49" i="17" s="1"/>
  <c r="Q47" i="17"/>
  <c r="AB47" i="17" s="1"/>
  <c r="Q48" i="17"/>
  <c r="AB48" i="17" s="1"/>
  <c r="Q45" i="17"/>
  <c r="AB45" i="17" s="1"/>
  <c r="Q41" i="17"/>
  <c r="AB41" i="17" s="1"/>
  <c r="Q46" i="17"/>
  <c r="AB46" i="17" s="1"/>
  <c r="Q44" i="17"/>
  <c r="AB44" i="17" s="1"/>
  <c r="Q43" i="17"/>
  <c r="AB43" i="17" s="1"/>
  <c r="Q42" i="17"/>
  <c r="AB42" i="17" s="1"/>
  <c r="Q40" i="17"/>
  <c r="AB40" i="17" s="1"/>
  <c r="Q34" i="17"/>
  <c r="AB34" i="17" s="1"/>
  <c r="Q27" i="17"/>
  <c r="AB27" i="17" s="1"/>
  <c r="Q39" i="17"/>
  <c r="AB39" i="17" s="1"/>
  <c r="Q38" i="17"/>
  <c r="AB38" i="17" s="1"/>
  <c r="Q37" i="17"/>
  <c r="AB37" i="17" s="1"/>
  <c r="Q36" i="17"/>
  <c r="AB36" i="17" s="1"/>
  <c r="Q35" i="17"/>
  <c r="AB35" i="17" s="1"/>
  <c r="Q33" i="17"/>
  <c r="AB33" i="17" s="1"/>
  <c r="Q32" i="17"/>
  <c r="AB32" i="17" s="1"/>
  <c r="Q31" i="17"/>
  <c r="AB31" i="17" s="1"/>
  <c r="Q30" i="17"/>
  <c r="AB30" i="17" s="1"/>
  <c r="Q29" i="17"/>
  <c r="AB29" i="17" s="1"/>
  <c r="Q28" i="17"/>
  <c r="AB28" i="17" s="1"/>
  <c r="Q26" i="17"/>
  <c r="AB26" i="17" s="1"/>
</calcChain>
</file>

<file path=xl/sharedStrings.xml><?xml version="1.0" encoding="utf-8"?>
<sst xmlns="http://schemas.openxmlformats.org/spreadsheetml/2006/main" count="520" uniqueCount="283">
  <si>
    <t xml:space="preserve">CenterPoint Energy Distribution Loss Factor for  </t>
  </si>
  <si>
    <t>General Information on Distribution Loss Factor:</t>
  </si>
  <si>
    <t xml:space="preserve">The Distribution Loss Factor is a percent that ERCOT will use to determine distribution losses for each Distribution Service Provider.   </t>
  </si>
  <si>
    <t>See ERCOT Protocols Section 13: Transmission and Distribution Losses, which was updated on September 1, 2016.  See following</t>
  </si>
  <si>
    <t>protocol link:   http://www.ercot.com/mktrules/nprotocols/current</t>
  </si>
  <si>
    <t xml:space="preserve">According to this protocol, ERCOT will calculate Distribution Loss Factors for each Settlement Interval of the Operating Day for </t>
  </si>
  <si>
    <t>settlement purposes.  Distribution Loss Factors will be calculated from the data provided by Distribution Service Providers using</t>
  </si>
  <si>
    <t>the following equation</t>
  </si>
  <si>
    <t xml:space="preserve">SILFi = F1 * (SIELi/AAL) + F2 + F3 / (SIELi / AAL) </t>
  </si>
  <si>
    <t>Where:</t>
  </si>
  <si>
    <r>
      <t xml:space="preserve">i </t>
    </r>
    <r>
      <rPr>
        <sz val="10"/>
        <rFont val="Arial"/>
        <family val="2"/>
      </rPr>
      <t xml:space="preserve"> = interval  (15 minutes)</t>
    </r>
  </si>
  <si>
    <r>
      <t xml:space="preserve">SILFi </t>
    </r>
    <r>
      <rPr>
        <sz val="10"/>
        <rFont val="Arial"/>
        <family val="2"/>
      </rPr>
      <t>= Settlement Interval Distribution Loss Factor</t>
    </r>
  </si>
  <si>
    <r>
      <t xml:space="preserve">SIELi </t>
    </r>
    <r>
      <rPr>
        <sz val="10"/>
        <rFont val="Arial"/>
        <family val="2"/>
      </rPr>
      <t>= Settlement Interval estimated ERCOT System Load</t>
    </r>
  </si>
  <si>
    <r>
      <t>AAL</t>
    </r>
    <r>
      <rPr>
        <sz val="10"/>
        <rFont val="Arial"/>
        <family val="2"/>
      </rPr>
      <t xml:space="preserve"> = Annual Interval Average ERCOT System Load (15 minute basis)</t>
    </r>
  </si>
  <si>
    <r>
      <t>F1, F2, F3</t>
    </r>
    <r>
      <rPr>
        <sz val="10"/>
        <rFont val="Arial"/>
        <family val="2"/>
      </rPr>
      <t xml:space="preserve"> = Coefficients derived from regression analysis of the TDSP loss study results</t>
    </r>
  </si>
  <si>
    <t>AAL = Annual Total System MWh / (Number of settlement intervals in the year)    Typically = 365 days * 24 hrs * 4 intervals</t>
  </si>
  <si>
    <t>AAL value for use in 2024 = 12,450 MWH</t>
  </si>
  <si>
    <t>AAL value for use in 2023 = 12,069 MWH</t>
  </si>
  <si>
    <t>AAL value for use in 2022 = 11,048 MWH</t>
  </si>
  <si>
    <t>AAL value for use in 2021 = 10,968 MWH</t>
  </si>
  <si>
    <t>AAL value for use in 2020 = 10,740 MWH</t>
  </si>
  <si>
    <t>AAL value for use in 2019 = 10,708 MWH</t>
  </si>
  <si>
    <t>AAL value for use in 2018 = 10,190 MWH</t>
  </si>
  <si>
    <t>AAL value for use in 2017 = 9,898 MWH</t>
  </si>
  <si>
    <t>AAL value for use in 2016 = 9,940 MWH</t>
  </si>
  <si>
    <t>AAL value for use in 2015 = 9,741 MWH</t>
  </si>
  <si>
    <t>AAL value for use in 2014 = 9,290 MWH</t>
  </si>
  <si>
    <t xml:space="preserve"> </t>
  </si>
  <si>
    <t>AAL value for use in 2013 = 9,304 MWH</t>
  </si>
  <si>
    <t>AAL value for use in 2012 = 9,463 MWH</t>
  </si>
  <si>
    <t>AAL value for use in 2011 = 9,034 MWH</t>
  </si>
  <si>
    <t>Customer Coding for CenterPoint Energy:</t>
  </si>
  <si>
    <t>Distribution customers that take service at secondary voltage are coded "D"</t>
  </si>
  <si>
    <t>Distribution customers that take service at primary voltage are coded "E"</t>
  </si>
  <si>
    <t>CenterPoint Energy customers taking service at transmission level voltages have no distribution losses associated with their energy</t>
  </si>
  <si>
    <t>delivery.  Therefore, each transmission ESI-ID account has been coded with a "T", and their losses are determined by ERCOT rules for</t>
  </si>
  <si>
    <t>transmission customers.</t>
  </si>
  <si>
    <t>For "D" Secondary Customers</t>
  </si>
  <si>
    <t xml:space="preserve">F1 = </t>
  </si>
  <si>
    <t xml:space="preserve">F2 = </t>
  </si>
  <si>
    <t xml:space="preserve">F3 = </t>
  </si>
  <si>
    <t>AAL for ERCOT (15 mins) = 10,708</t>
  </si>
  <si>
    <t>For "E" Primary Customers</t>
  </si>
  <si>
    <t>Assumptions</t>
  </si>
  <si>
    <t>1. Assume AAL for CNP corresponds to AAL for ERCOT</t>
  </si>
  <si>
    <t>2. However, the peak for CNP is proportionately greater than the peak for ERCOT relative to AAL.</t>
  </si>
  <si>
    <t xml:space="preserve">    Ratio of Peak to AAL</t>
  </si>
  <si>
    <t>CNP</t>
  </si>
  <si>
    <t>ERCOT</t>
  </si>
  <si>
    <t>Ratio of Peak to AAL for CNP is not proportional to ERCOT</t>
  </si>
  <si>
    <t xml:space="preserve">      2021 for use in 2022</t>
  </si>
  <si>
    <t xml:space="preserve">      2022 for use in 2023</t>
  </si>
  <si>
    <t xml:space="preserve">      2023 for use in 2024</t>
  </si>
  <si>
    <t>15 mins</t>
  </si>
  <si>
    <t>1 hour</t>
  </si>
  <si>
    <t>CNP Peak</t>
  </si>
  <si>
    <t>CNP AAL</t>
  </si>
  <si>
    <t>ERCOT Peak</t>
  </si>
  <si>
    <t>ERCOT AAL</t>
  </si>
  <si>
    <t xml:space="preserve">CNP peak is proportionately higher than CNP AAL as compared to ERCOT peak vs ERCOT AAL, so % losses (and DLF) above AAL  are </t>
  </si>
  <si>
    <t>increased an amount that is consistent with this higher loading at peak, so that when ERCOT hits peak, % losses will correspond to CNP peak.</t>
  </si>
  <si>
    <t>Methodology upon which the calculation of loss factor was made:</t>
  </si>
  <si>
    <t xml:space="preserve">Over the years, CenterPoint Energy has developed system loss equations for each part of the system.  Equations for distribution </t>
  </si>
  <si>
    <t>substation transformer losses, distribution primary conductor losses, distribution transformer losses and secondary conductor losses</t>
  </si>
  <si>
    <t>were utilized to calculate the total losses on the CenterPoint Energy distribution system for various load levels.  See Tab 3 - Loss Equations.</t>
  </si>
  <si>
    <t xml:space="preserve">Losses = </t>
  </si>
  <si>
    <r>
      <t>A</t>
    </r>
    <r>
      <rPr>
        <b/>
        <i/>
        <sz val="10"/>
        <rFont val="Arial"/>
        <family val="2"/>
      </rPr>
      <t>X</t>
    </r>
    <r>
      <rPr>
        <b/>
        <i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+ B</t>
    </r>
  </si>
  <si>
    <t>A = Constant</t>
  </si>
  <si>
    <t>B = Constant</t>
  </si>
  <si>
    <r>
      <t>X</t>
    </r>
    <r>
      <rPr>
        <b/>
        <sz val="10"/>
        <rFont val="Arial"/>
        <family val="2"/>
      </rPr>
      <t xml:space="preserve"> = Input to System (MW)</t>
    </r>
  </si>
  <si>
    <t>The constants (A &amp; B) for each of the equations were updated in 2018 for use as follows:</t>
  </si>
  <si>
    <t>1. Substation Transformer Losses - The A B constants for substation transformers were updated for</t>
  </si>
  <si>
    <t>The current substation transformer database was used to determine the total "No-load" losses for all transformers on the system.</t>
  </si>
  <si>
    <t>This database contains test data for every substation transformer.</t>
  </si>
  <si>
    <t xml:space="preserve">The total no-load losses are   </t>
  </si>
  <si>
    <t>MW.</t>
  </si>
  <si>
    <t>Also, the database provided the total "Load" losses for the transformers on the system at rated trf load.</t>
  </si>
  <si>
    <t>This value is</t>
  </si>
  <si>
    <t>MW at</t>
  </si>
  <si>
    <t xml:space="preserve">MW load level. </t>
  </si>
  <si>
    <t xml:space="preserve">This results in a total of </t>
  </si>
  <si>
    <t xml:space="preserve">MW of substation transformer losses at approximately </t>
  </si>
  <si>
    <t>MVA at CNP (Sub Trf nameplate rating)</t>
  </si>
  <si>
    <t>The constants in the system loss equations were adjusted to match this result.  See Tab 3.</t>
  </si>
  <si>
    <t>2. Primary Conductor Losses      (No change in the A B constants for primary conductor)</t>
  </si>
  <si>
    <t>The primary conductor losses for 2007 were considered to be similar to the losses in 2006, but the constant for the system loss</t>
  </si>
  <si>
    <t>equation was increased 2.5% due to the increased loading on our circuits which is a result of our revised design criteria.</t>
  </si>
  <si>
    <t>The design criteria allows higher loadings due to an increase in switching operations under contingency conditions from</t>
  </si>
  <si>
    <t>2 pairs of switching operations to 4 pairs of switching operations.</t>
  </si>
  <si>
    <t xml:space="preserve">For </t>
  </si>
  <si>
    <t xml:space="preserve"> there is no further change in the system loss equations.</t>
  </si>
  <si>
    <t xml:space="preserve">3. Distribution Transformer Losses -  The A B constants for distribution transformers were updated for </t>
  </si>
  <si>
    <t>An inventory of the distribution transformers was downloaded from the GIS system.  For every size transformer</t>
  </si>
  <si>
    <t>the "No-load" losses and "Load" losses were determined by various test reports.  This information was entered</t>
  </si>
  <si>
    <t>for each size of transformer to determine the total "No-load" losses and the total "Load" losses for the distribution transformers.</t>
  </si>
  <si>
    <t>Additionally, a TLM (Transformer Load Maintenance) Program was used to calculate no-load and load losses.</t>
  </si>
  <si>
    <t xml:space="preserve">Since the no-load losses used in the TLM program were based on older/higher values from 1985 and the GIS spreadsheet </t>
  </si>
  <si>
    <t>used more current test values from 2000-2005, the results of the two programs were averaged together to get</t>
  </si>
  <si>
    <t xml:space="preserve">a balanced result for "no-load" losses for a distribution system that has both old and new transformers.  </t>
  </si>
  <si>
    <t>The "load losses" from both methods were very close, so the load losses from GIS were used.</t>
  </si>
  <si>
    <t>See Tab 3 for the updated A B constants for distribution transformers.</t>
  </si>
  <si>
    <t xml:space="preserve">4. Secondary Conductor Losses  - No change in the A B constants for secondary conductor for </t>
  </si>
  <si>
    <t xml:space="preserve">The constant in the system loss equation for secondary losses is same as used in previous years.     </t>
  </si>
  <si>
    <t>5. AAL for ERCOT</t>
  </si>
  <si>
    <t>The AAL for ERCOT was updated based on information from ERCOT.  The new value is</t>
  </si>
  <si>
    <t>MWH for 15 minutes.</t>
  </si>
  <si>
    <t>DLF Coefficients (F1, F2 and F3)</t>
  </si>
  <si>
    <t xml:space="preserve">For both primary and secondary customers, the F1, F2 and F3 coefficients were selected to provide a curve fit with the loss equations that were </t>
  </si>
  <si>
    <t xml:space="preserve">developed above.  F1 impacts the right side of the curve, F2 impacts the middle/entire curve, and F3 impacts the left side of the curve.  These </t>
  </si>
  <si>
    <t xml:space="preserve">coefficents were adjusted to get a curve fit in the most critical areas.  See spreadsheet and graphs in Tab 2 - Loss Analysis. </t>
  </si>
  <si>
    <t>The F1, F2, and F3 coefficients for D secondary customers and E primary metered customers for 2017 are shown above.</t>
  </si>
  <si>
    <t>Overall results:</t>
  </si>
  <si>
    <t>2023 for 2024</t>
  </si>
  <si>
    <t>DLF at AAL</t>
  </si>
  <si>
    <t xml:space="preserve">DLF at ERCOT Peak  </t>
  </si>
  <si>
    <t>Questions:</t>
  </si>
  <si>
    <t>If you have any questions, please call Robert Pitcel at 713-207-7621, Michael Blum 713-207-6598, or Brian Clowe 713-207-6287.</t>
  </si>
  <si>
    <t>Email Robert Pitcel at robert.pitcel@centerpointenergy.com, michael.blum@centerpointenergy.com, or Brian Clowe at brian.clowe@centerpointenergy.com</t>
  </si>
  <si>
    <t>Loss Comparison With Different A/B Constants</t>
  </si>
  <si>
    <t>Loss Analysis 02.xls</t>
  </si>
  <si>
    <t xml:space="preserve">               Substation Transformers</t>
  </si>
  <si>
    <t xml:space="preserve">                  Primary Conductor</t>
  </si>
  <si>
    <t xml:space="preserve">               Distribution Transformers</t>
  </si>
  <si>
    <t xml:space="preserve">               Secondary Conductor</t>
  </si>
  <si>
    <t>B Constant</t>
  </si>
  <si>
    <t>A Constant</t>
  </si>
  <si>
    <t>2001 Modified</t>
  </si>
  <si>
    <t>Load</t>
  </si>
  <si>
    <t xml:space="preserve">             Sub Trf Losses</t>
  </si>
  <si>
    <t xml:space="preserve">       Primary Cond Losses</t>
  </si>
  <si>
    <t xml:space="preserve">             Dist Trf Losses</t>
  </si>
  <si>
    <t xml:space="preserve">         Sec Cond Losses</t>
  </si>
  <si>
    <t>Total Losses</t>
  </si>
  <si>
    <t>(MW)</t>
  </si>
  <si>
    <t>(%)</t>
  </si>
  <si>
    <t>2001 M</t>
  </si>
  <si>
    <t>Note:  All % calculations are based on the total load which is shown in column 2.</t>
  </si>
  <si>
    <t>HL&amp;P Distribution Loss Analysis</t>
  </si>
  <si>
    <t xml:space="preserve">K =  </t>
  </si>
  <si>
    <t>PELCAR</t>
  </si>
  <si>
    <t>Difference</t>
  </si>
  <si>
    <t>Tangent ?</t>
  </si>
  <si>
    <t>K Formula</t>
  </si>
  <si>
    <t>Losses Based</t>
  </si>
  <si>
    <t>Input to Sub Trfs</t>
  </si>
  <si>
    <t>Sub Trf Losses</t>
  </si>
  <si>
    <t>Input to Dist Sys</t>
  </si>
  <si>
    <t>Pri Cond Losses</t>
  </si>
  <si>
    <t>Input to Dist Trfs</t>
  </si>
  <si>
    <t>Dist Trf Losses</t>
  </si>
  <si>
    <t>Input to Secondary</t>
  </si>
  <si>
    <t>Secondary Losses</t>
  </si>
  <si>
    <t>Losses - Tangent</t>
  </si>
  <si>
    <t>K = 0.0</t>
  </si>
  <si>
    <t>Loss - (K=0.0)</t>
  </si>
  <si>
    <t>K = 0.8</t>
  </si>
  <si>
    <t>Loss - (K=0.8)</t>
  </si>
  <si>
    <t>K = 1.0</t>
  </si>
  <si>
    <t>On K = 0.8</t>
  </si>
  <si>
    <t>Highlighted Area Represents 96% Range</t>
  </si>
  <si>
    <t>% Losses at Peak =</t>
  </si>
  <si>
    <t>CenterPoint Energy Distribution Loss Factor</t>
  </si>
  <si>
    <t>No Scaling</t>
  </si>
  <si>
    <t>With Scaling</t>
  </si>
  <si>
    <t xml:space="preserve">     Using F1, F2 &amp; F3 Coefficients</t>
  </si>
  <si>
    <t>Primary</t>
  </si>
  <si>
    <t>Total</t>
  </si>
  <si>
    <t>Secondary</t>
  </si>
  <si>
    <t xml:space="preserve">  Adjustment for % Losses</t>
  </si>
  <si>
    <t>Load            (15 min)</t>
  </si>
  <si>
    <t>Load            (1 hr)</t>
  </si>
  <si>
    <t>Input To Sub Trfs</t>
  </si>
  <si>
    <t>Sub Trf  Losses</t>
  </si>
  <si>
    <t>Conductor  Losses</t>
  </si>
  <si>
    <t>Primary Losses</t>
  </si>
  <si>
    <t>Primary       Loss %</t>
  </si>
  <si>
    <t>Input To Secondary</t>
  </si>
  <si>
    <t>Conductor Losses</t>
  </si>
  <si>
    <t>DLF</t>
  </si>
  <si>
    <t>Sec</t>
  </si>
  <si>
    <t>Pri</t>
  </si>
  <si>
    <t>Primary MW Losses</t>
  </si>
  <si>
    <t>Sec MW Losses</t>
  </si>
  <si>
    <t>SIEL</t>
  </si>
  <si>
    <t>15 min</t>
  </si>
  <si>
    <t>AAL</t>
  </si>
  <si>
    <t>At ERCOT AAL</t>
  </si>
  <si>
    <t>Peak</t>
  </si>
  <si>
    <t>At ERCOT Peak</t>
  </si>
  <si>
    <t>AAL for CNP (</t>
  </si>
  <si>
    <t xml:space="preserve">MW) is measured at the Dist Fdr Bkr (PELCAR, Column G) so this value is increased </t>
  </si>
  <si>
    <t>MW (Cell F50 ) for the high side of the sub trfs</t>
  </si>
  <si>
    <t>Peak for CNP (</t>
  </si>
  <si>
    <t xml:space="preserve"> MW) is measured at the Dist Fdr Bkr (PELCAR, Column G) so this value is increased 60 MW (Cell F51) for the high side of the sub trfs</t>
  </si>
  <si>
    <t>Secondary (Adjusted)</t>
  </si>
  <si>
    <t>Primary (Adjusted)</t>
  </si>
  <si>
    <t>CNP peak is proportionately higher than CNP AAL as compared to ERCOT peak vs ERCOT AAL, so % Losses above AAL are scaled proportionately.</t>
  </si>
  <si>
    <t>(When ERCOT is at peak, CNP is 4.5 intervals below peak, so % losses at ERCOT peak are scaled up to match % losses at CNP peak.)</t>
  </si>
  <si>
    <t xml:space="preserve">ERCOT Peak </t>
  </si>
  <si>
    <t xml:space="preserve">CNP Peak </t>
  </si>
  <si>
    <t xml:space="preserve">  Scaling for % Losses</t>
  </si>
  <si>
    <t>For Secondary Distribution Customers "D"</t>
  </si>
  <si>
    <t>Substation Transformers</t>
  </si>
  <si>
    <t xml:space="preserve">   Primary Conductor</t>
  </si>
  <si>
    <t>Distribution Transformers</t>
  </si>
  <si>
    <t xml:space="preserve">   Secondary Conductor</t>
  </si>
  <si>
    <t>For Primary Distribution Customers "E"</t>
  </si>
  <si>
    <t>Primary Constants</t>
  </si>
  <si>
    <t>2023 Values ----&gt;</t>
  </si>
  <si>
    <t xml:space="preserve">&lt;----2023 Values </t>
  </si>
  <si>
    <t>2022 Values ----&gt;</t>
  </si>
  <si>
    <t xml:space="preserve">&lt;----2022 Values </t>
  </si>
  <si>
    <t>2021 Values ----&gt;</t>
  </si>
  <si>
    <t xml:space="preserve">&lt;----2021 Values </t>
  </si>
  <si>
    <t>F1 =</t>
  </si>
  <si>
    <t>right</t>
  </si>
  <si>
    <t>2020 Values ----&gt;</t>
  </si>
  <si>
    <t xml:space="preserve">&lt;----2020 Values </t>
  </si>
  <si>
    <t>F2 =</t>
  </si>
  <si>
    <t>middle</t>
  </si>
  <si>
    <t>2019 Values ----&gt;</t>
  </si>
  <si>
    <t xml:space="preserve">&lt;----2019 Values </t>
  </si>
  <si>
    <t>F3 =</t>
  </si>
  <si>
    <t>left</t>
  </si>
  <si>
    <t>2018 Values ----&gt;</t>
  </si>
  <si>
    <t xml:space="preserve">&lt;----2018 Values </t>
  </si>
  <si>
    <t>2017 Values ----&gt;</t>
  </si>
  <si>
    <t xml:space="preserve"> &lt;--- 2017 Values</t>
  </si>
  <si>
    <t>2016 Values ----&gt;</t>
  </si>
  <si>
    <t xml:space="preserve"> &lt;--- 2016 Values</t>
  </si>
  <si>
    <t>Secondary Constants</t>
  </si>
  <si>
    <t>2015 Values ----&gt;</t>
  </si>
  <si>
    <t xml:space="preserve"> &lt;--- 2015 Values</t>
  </si>
  <si>
    <t>2014 Values ----&gt;</t>
  </si>
  <si>
    <t xml:space="preserve"> &lt;--- 2014 Values</t>
  </si>
  <si>
    <t>2013 Values ----&gt;</t>
  </si>
  <si>
    <t xml:space="preserve"> &lt;--- 2013 Values</t>
  </si>
  <si>
    <t>2012 Values ----&gt;</t>
  </si>
  <si>
    <t xml:space="preserve"> &lt;--- 2012 Values</t>
  </si>
  <si>
    <t>2009 Values ----&gt;</t>
  </si>
  <si>
    <t xml:space="preserve"> &lt;--- 2009 Values</t>
  </si>
  <si>
    <t>2008 Values ----&gt;</t>
  </si>
  <si>
    <t xml:space="preserve"> &lt;--- 2008 Values</t>
  </si>
  <si>
    <t>2007 Values ----&gt;</t>
  </si>
  <si>
    <t xml:space="preserve"> &lt;--- 2007 Values</t>
  </si>
  <si>
    <t>&lt;--- 1995</t>
  </si>
  <si>
    <t>&lt;--- 2001</t>
  </si>
  <si>
    <t xml:space="preserve">&lt;--- 2004/2006 </t>
  </si>
  <si>
    <t>2.866% increase  in Sub Trf nameplate MVA from 2001 to 2004</t>
  </si>
  <si>
    <t>15.9% 1ncrease in distribution trf nameplate KVA from 2001 to 2004</t>
  </si>
  <si>
    <t>2007 Start Values ----&gt;</t>
  </si>
  <si>
    <t>&lt;---2007 Start Value</t>
  </si>
  <si>
    <t>New values as per updated</t>
  </si>
  <si>
    <t>Add 2.5 % to 2006 values due</t>
  </si>
  <si>
    <t>2007 Adjustments ----&gt;</t>
  </si>
  <si>
    <t>substation trf review.</t>
  </si>
  <si>
    <t>to increased loading on circuits</t>
  </si>
  <si>
    <t>distribution trf review.</t>
  </si>
  <si>
    <t>Decrease from 2006 values.</t>
  </si>
  <si>
    <t>as per revised Design Criteria</t>
  </si>
  <si>
    <t>No change to 2006 values.</t>
  </si>
  <si>
    <t>AAL for ERCOT (15 mins) = 10,740</t>
  </si>
  <si>
    <t xml:space="preserve">   DLF = F1 * (SIEL/AAL) + F2 + F3 / (SIEL/AAL)</t>
  </si>
  <si>
    <t>(See graphs below)</t>
  </si>
  <si>
    <t xml:space="preserve">System Loss Equations For CenterPoint Energy </t>
  </si>
  <si>
    <t>Calculations/Formulas</t>
  </si>
  <si>
    <t>=</t>
  </si>
  <si>
    <t>A * (TRF name plate*TRF name plate) + (No load losses+1%)</t>
  </si>
  <si>
    <t xml:space="preserve">A = </t>
  </si>
  <si>
    <t xml:space="preserve">B = </t>
  </si>
  <si>
    <t>Variables</t>
  </si>
  <si>
    <t xml:space="preserve">for use in </t>
  </si>
  <si>
    <t>Total No Load Losses for Substation Transformers +1% [MW]:</t>
  </si>
  <si>
    <t>Total Load Losses at Trf base name plate rating +1% [MW]:</t>
  </si>
  <si>
    <t>Total Losses [MW]:</t>
  </si>
  <si>
    <t xml:space="preserve"> Trf base name plate rating [MVA]:</t>
  </si>
  <si>
    <t>A * (Distribution Input*Distribution Input) + No load losses</t>
  </si>
  <si>
    <t xml:space="preserve"> Total No-Load Loss Average For Distribution Transformer[MW]:</t>
  </si>
  <si>
    <t>Total Load Losses at input to Distribution Transformers [MW]:</t>
  </si>
  <si>
    <t>Distribution Input [MW]:</t>
  </si>
  <si>
    <t>Conductors</t>
  </si>
  <si>
    <t xml:space="preserve">Primary Conductor </t>
  </si>
  <si>
    <t>Secondary Conductor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</si>
</sst>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00000"/>
    <numFmt numFmtId="165" formatCode="0.0"/>
    <numFmt numFmtId="166" formatCode="0.000E+00"/>
    <numFmt numFmtId="167" formatCode="0.000"/>
    <numFmt numFmtId="168" formatCode="0.0000E+00"/>
    <numFmt numFmtId="169" formatCode="0.000%"/>
    <numFmt numFmtId="170" formatCode="#,##0.000"/>
    <numFmt numFmtId="171" formatCode="0.0000%"/>
    <numFmt numFmtId="172" formatCode="#,##0.0"/>
    <numFmt numFmtId="173" formatCode="0.00000"/>
    <numFmt numFmtId="174" formatCode="0.00000E+00"/>
    <numFmt numFmtId="175" formatCode="[$-409]mmmm\ d\,\ yyyy;@"/>
    <numFmt numFmtId="176" formatCode="0.00;[Red]0.00"/>
  </numFmts>
  <fonts count="3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u/>
      <sz val="10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i/>
      <vertAlign val="superscript"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i/>
      <sz val="16"/>
      <name val="Arial"/>
      <family val="2"/>
    </font>
    <font>
      <b/>
      <i/>
      <u/>
      <sz val="16"/>
      <name val="Arial"/>
      <family val="2"/>
    </font>
    <font>
      <u/>
      <sz val="11"/>
      <name val="Arial"/>
      <family val="2"/>
    </font>
    <font>
      <b/>
      <u/>
      <sz val="12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rgb="FFFF0000"/>
      <name val="Arial"/>
      <family val="2"/>
    </font>
    <font>
      <b/>
      <sz val="14"/>
      <color rgb="FFFF0000"/>
      <name val="Arial"/>
      <family val="2"/>
    </font>
    <font>
      <b/>
      <u/>
      <sz val="10"/>
      <color rgb="FFFF0000"/>
      <name val="Arial"/>
      <family val="2"/>
    </font>
    <font>
      <sz val="9"/>
      <color theme="1"/>
      <name val="Arial"/>
      <family val="2"/>
    </font>
    <font>
      <b/>
      <u/>
      <sz val="11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A5A5A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23" fillId="3" borderId="32" applyNumberFormat="0" applyAlignment="0" applyProtection="0"/>
    <xf numFmtId="9" fontId="1" fillId="0" borderId="0" applyFont="0" applyFill="0" applyBorder="0" applyAlignment="0" applyProtection="0"/>
  </cellStyleXfs>
  <cellXfs count="47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0" applyFont="1" applyBorder="1"/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4" fillId="0" borderId="0" xfId="0" applyFont="1"/>
    <xf numFmtId="10" fontId="0" fillId="0" borderId="0" xfId="0" applyNumberFormat="1" applyAlignment="1">
      <alignment horizontal="center"/>
    </xf>
    <xf numFmtId="9" fontId="0" fillId="0" borderId="0" xfId="2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quotePrefix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6" fontId="0" fillId="0" borderId="5" xfId="0" applyNumberForma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167" fontId="0" fillId="0" borderId="4" xfId="0" applyNumberFormat="1" applyBorder="1" applyAlignment="1">
      <alignment horizontal="center"/>
    </xf>
    <xf numFmtId="167" fontId="0" fillId="0" borderId="7" xfId="0" applyNumberFormat="1" applyBorder="1" applyAlignment="1">
      <alignment horizontal="left"/>
    </xf>
    <xf numFmtId="168" fontId="0" fillId="0" borderId="5" xfId="0" applyNumberFormat="1" applyBorder="1" applyAlignment="1">
      <alignment horizontal="center"/>
    </xf>
    <xf numFmtId="168" fontId="2" fillId="0" borderId="4" xfId="0" applyNumberFormat="1" applyFont="1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7" fillId="0" borderId="0" xfId="0" applyFont="1" applyAlignment="1">
      <alignment horizontal="left"/>
    </xf>
    <xf numFmtId="168" fontId="0" fillId="0" borderId="1" xfId="0" applyNumberFormat="1" applyBorder="1" applyAlignment="1">
      <alignment horizontal="center"/>
    </xf>
    <xf numFmtId="0" fontId="6" fillId="0" borderId="0" xfId="0" applyFont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9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9" fontId="0" fillId="0" borderId="6" xfId="0" applyNumberForma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6" xfId="0" applyFont="1" applyBorder="1"/>
    <xf numFmtId="0" fontId="0" fillId="0" borderId="5" xfId="0" applyBorder="1"/>
    <xf numFmtId="0" fontId="0" fillId="0" borderId="13" xfId="0" applyBorder="1" applyAlignment="1">
      <alignment horizontal="center"/>
    </xf>
    <xf numFmtId="0" fontId="0" fillId="0" borderId="6" xfId="0" applyBorder="1"/>
    <xf numFmtId="168" fontId="0" fillId="0" borderId="4" xfId="0" applyNumberForma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168" fontId="2" fillId="0" borderId="10" xfId="0" applyNumberFormat="1" applyFont="1" applyBorder="1" applyAlignment="1">
      <alignment horizontal="center"/>
    </xf>
    <xf numFmtId="168" fontId="2" fillId="0" borderId="12" xfId="0" applyNumberFormat="1" applyFont="1" applyBorder="1" applyAlignment="1">
      <alignment horizontal="center"/>
    </xf>
    <xf numFmtId="10" fontId="3" fillId="2" borderId="0" xfId="0" applyNumberFormat="1" applyFont="1" applyFill="1" applyAlignment="1">
      <alignment horizontal="center"/>
    </xf>
    <xf numFmtId="10" fontId="0" fillId="2" borderId="0" xfId="0" applyNumberForma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10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2" fontId="2" fillId="0" borderId="0" xfId="0" applyNumberFormat="1" applyFont="1"/>
    <xf numFmtId="0" fontId="15" fillId="0" borderId="0" xfId="0" applyFont="1"/>
    <xf numFmtId="4" fontId="0" fillId="0" borderId="0" xfId="0" applyNumberFormat="1"/>
    <xf numFmtId="0" fontId="4" fillId="0" borderId="0" xfId="0" applyFont="1" applyAlignment="1">
      <alignment horizontal="center"/>
    </xf>
    <xf numFmtId="0" fontId="0" fillId="0" borderId="12" xfId="0" applyBorder="1"/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8" fontId="3" fillId="0" borderId="0" xfId="0" applyNumberFormat="1" applyFont="1" applyAlignment="1">
      <alignment horizontal="center"/>
    </xf>
    <xf numFmtId="168" fontId="3" fillId="0" borderId="5" xfId="0" applyNumberFormat="1" applyFont="1" applyBorder="1" applyAlignment="1">
      <alignment horizontal="center"/>
    </xf>
    <xf numFmtId="167" fontId="3" fillId="0" borderId="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0" fillId="0" borderId="4" xfId="0" applyBorder="1"/>
    <xf numFmtId="0" fontId="0" fillId="0" borderId="7" xfId="0" applyBorder="1"/>
    <xf numFmtId="0" fontId="2" fillId="0" borderId="2" xfId="0" applyFont="1" applyBorder="1" applyAlignment="1">
      <alignment horizontal="center" wrapText="1"/>
    </xf>
    <xf numFmtId="164" fontId="12" fillId="0" borderId="0" xfId="0" applyNumberFormat="1" applyFont="1" applyAlignment="1">
      <alignment horizontal="center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0" xfId="0" applyBorder="1"/>
    <xf numFmtId="0" fontId="0" fillId="0" borderId="12" xfId="0" applyBorder="1" applyAlignment="1">
      <alignment horizontal="center"/>
    </xf>
    <xf numFmtId="0" fontId="7" fillId="0" borderId="0" xfId="0" applyFont="1"/>
    <xf numFmtId="0" fontId="16" fillId="0" borderId="0" xfId="0" applyFont="1"/>
    <xf numFmtId="169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 wrapText="1"/>
    </xf>
    <xf numFmtId="169" fontId="3" fillId="0" borderId="0" xfId="0" applyNumberFormat="1" applyFont="1" applyAlignment="1">
      <alignment horizontal="center"/>
    </xf>
    <xf numFmtId="173" fontId="4" fillId="0" borderId="0" xfId="0" applyNumberFormat="1" applyFont="1" applyAlignment="1">
      <alignment horizontal="center"/>
    </xf>
    <xf numFmtId="0" fontId="5" fillId="0" borderId="0" xfId="0" applyFont="1"/>
    <xf numFmtId="167" fontId="3" fillId="0" borderId="10" xfId="0" applyNumberFormat="1" applyFont="1" applyBorder="1" applyAlignment="1">
      <alignment horizontal="center"/>
    </xf>
    <xf numFmtId="168" fontId="6" fillId="0" borderId="11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8" fontId="6" fillId="0" borderId="12" xfId="0" applyNumberFormat="1" applyFont="1" applyBorder="1" applyAlignment="1">
      <alignment horizontal="center"/>
    </xf>
    <xf numFmtId="167" fontId="3" fillId="0" borderId="8" xfId="0" applyNumberFormat="1" applyFont="1" applyBorder="1" applyAlignment="1">
      <alignment horizontal="center"/>
    </xf>
    <xf numFmtId="168" fontId="6" fillId="0" borderId="9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2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25" fillId="0" borderId="0" xfId="0" applyFont="1" applyAlignment="1">
      <alignment horizontal="right"/>
    </xf>
    <xf numFmtId="0" fontId="3" fillId="0" borderId="10" xfId="0" applyFont="1" applyBorder="1" applyAlignment="1">
      <alignment horizontal="center"/>
    </xf>
    <xf numFmtId="168" fontId="3" fillId="0" borderId="11" xfId="0" applyNumberFormat="1" applyFont="1" applyBorder="1" applyAlignment="1">
      <alignment horizontal="center"/>
    </xf>
    <xf numFmtId="0" fontId="17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168" fontId="5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172" fontId="3" fillId="0" borderId="0" xfId="0" applyNumberFormat="1" applyFont="1" applyAlignment="1">
      <alignment horizontal="center"/>
    </xf>
    <xf numFmtId="168" fontId="3" fillId="0" borderId="12" xfId="0" applyNumberFormat="1" applyFont="1" applyBorder="1" applyAlignment="1">
      <alignment horizontal="center"/>
    </xf>
    <xf numFmtId="11" fontId="3" fillId="0" borderId="11" xfId="0" applyNumberFormat="1" applyFont="1" applyBorder="1" applyAlignment="1">
      <alignment horizontal="center"/>
    </xf>
    <xf numFmtId="0" fontId="26" fillId="0" borderId="10" xfId="0" applyFont="1" applyBorder="1" applyAlignment="1">
      <alignment horizontal="center"/>
    </xf>
    <xf numFmtId="168" fontId="26" fillId="0" borderId="12" xfId="0" applyNumberFormat="1" applyFont="1" applyBorder="1" applyAlignment="1">
      <alignment horizontal="center"/>
    </xf>
    <xf numFmtId="11" fontId="26" fillId="0" borderId="11" xfId="0" applyNumberFormat="1" applyFont="1" applyBorder="1" applyAlignment="1">
      <alignment horizontal="center"/>
    </xf>
    <xf numFmtId="170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71" fontId="2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0" fontId="24" fillId="0" borderId="9" xfId="0" applyFont="1" applyBorder="1"/>
    <xf numFmtId="169" fontId="2" fillId="0" borderId="0" xfId="0" applyNumberFormat="1" applyFont="1" applyAlignment="1">
      <alignment horizontal="center"/>
    </xf>
    <xf numFmtId="0" fontId="3" fillId="0" borderId="10" xfId="0" applyFont="1" applyBorder="1"/>
    <xf numFmtId="0" fontId="11" fillId="0" borderId="7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11" xfId="0" applyBorder="1"/>
    <xf numFmtId="0" fontId="11" fillId="0" borderId="0" xfId="0" applyFont="1"/>
    <xf numFmtId="0" fontId="27" fillId="0" borderId="1" xfId="0" applyFont="1" applyBorder="1" applyAlignment="1">
      <alignment horizontal="center"/>
    </xf>
    <xf numFmtId="0" fontId="27" fillId="0" borderId="2" xfId="0" applyFont="1" applyBorder="1" applyAlignment="1">
      <alignment horizontal="center" wrapText="1"/>
    </xf>
    <xf numFmtId="2" fontId="26" fillId="0" borderId="0" xfId="0" applyNumberFormat="1" applyFont="1" applyAlignment="1">
      <alignment horizontal="center"/>
    </xf>
    <xf numFmtId="10" fontId="26" fillId="0" borderId="0" xfId="0" applyNumberFormat="1" applyFont="1" applyAlignment="1">
      <alignment horizontal="center"/>
    </xf>
    <xf numFmtId="169" fontId="27" fillId="0" borderId="0" xfId="0" applyNumberFormat="1" applyFont="1" applyAlignment="1">
      <alignment horizontal="center"/>
    </xf>
    <xf numFmtId="0" fontId="28" fillId="0" borderId="0" xfId="0" applyFont="1"/>
    <xf numFmtId="0" fontId="26" fillId="0" borderId="0" xfId="0" applyFont="1"/>
    <xf numFmtId="2" fontId="28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/>
    </xf>
    <xf numFmtId="167" fontId="3" fillId="0" borderId="4" xfId="0" applyNumberFormat="1" applyFont="1" applyBorder="1" applyAlignment="1">
      <alignment horizontal="left"/>
    </xf>
    <xf numFmtId="0" fontId="24" fillId="0" borderId="0" xfId="0" applyFont="1"/>
    <xf numFmtId="167" fontId="29" fillId="0" borderId="0" xfId="0" applyNumberFormat="1" applyFont="1"/>
    <xf numFmtId="167" fontId="30" fillId="0" borderId="0" xfId="0" applyNumberFormat="1" applyFont="1"/>
    <xf numFmtId="1" fontId="29" fillId="0" borderId="0" xfId="0" applyNumberFormat="1" applyFont="1"/>
    <xf numFmtId="11" fontId="3" fillId="0" borderId="0" xfId="0" applyNumberFormat="1" applyFont="1"/>
    <xf numFmtId="0" fontId="29" fillId="0" borderId="0" xfId="0" applyFont="1"/>
    <xf numFmtId="0" fontId="30" fillId="0" borderId="0" xfId="0" applyFont="1"/>
    <xf numFmtId="0" fontId="29" fillId="0" borderId="0" xfId="0" applyFont="1" applyAlignment="1">
      <alignment horizontal="left"/>
    </xf>
    <xf numFmtId="0" fontId="31" fillId="0" borderId="0" xfId="0" applyFont="1"/>
    <xf numFmtId="174" fontId="0" fillId="0" borderId="0" xfId="0" applyNumberFormat="1"/>
    <xf numFmtId="167" fontId="24" fillId="0" borderId="0" xfId="0" applyNumberFormat="1" applyFont="1" applyAlignment="1">
      <alignment horizontal="center"/>
    </xf>
    <xf numFmtId="3" fontId="29" fillId="0" borderId="0" xfId="0" applyNumberFormat="1" applyFont="1"/>
    <xf numFmtId="0" fontId="23" fillId="0" borderId="0" xfId="1" applyFill="1" applyBorder="1"/>
    <xf numFmtId="0" fontId="2" fillId="4" borderId="15" xfId="0" applyFont="1" applyFill="1" applyBorder="1"/>
    <xf numFmtId="0" fontId="0" fillId="4" borderId="16" xfId="0" applyFill="1" applyBorder="1"/>
    <xf numFmtId="0" fontId="0" fillId="4" borderId="17" xfId="0" applyFill="1" applyBorder="1"/>
    <xf numFmtId="0" fontId="2" fillId="4" borderId="18" xfId="0" applyFont="1" applyFill="1" applyBorder="1"/>
    <xf numFmtId="0" fontId="2" fillId="4" borderId="0" xfId="0" applyFont="1" applyFill="1" applyAlignment="1">
      <alignment horizontal="right"/>
    </xf>
    <xf numFmtId="0" fontId="2" fillId="4" borderId="19" xfId="0" applyFont="1" applyFill="1" applyBorder="1"/>
    <xf numFmtId="0" fontId="2" fillId="4" borderId="20" xfId="0" applyFont="1" applyFill="1" applyBorder="1" applyAlignment="1">
      <alignment horizontal="right"/>
    </xf>
    <xf numFmtId="0" fontId="0" fillId="4" borderId="0" xfId="0" applyFill="1"/>
    <xf numFmtId="0" fontId="0" fillId="4" borderId="21" xfId="0" applyFill="1" applyBorder="1"/>
    <xf numFmtId="0" fontId="0" fillId="4" borderId="19" xfId="0" applyFill="1" applyBorder="1"/>
    <xf numFmtId="0" fontId="0" fillId="4" borderId="22" xfId="0" applyFill="1" applyBorder="1"/>
    <xf numFmtId="0" fontId="0" fillId="4" borderId="18" xfId="0" applyFill="1" applyBorder="1"/>
    <xf numFmtId="174" fontId="27" fillId="4" borderId="0" xfId="0" applyNumberFormat="1" applyFont="1" applyFill="1"/>
    <xf numFmtId="2" fontId="27" fillId="4" borderId="20" xfId="0" applyNumberFormat="1" applyFont="1" applyFill="1" applyBorder="1"/>
    <xf numFmtId="176" fontId="24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2" fillId="0" borderId="0" xfId="0" quotePrefix="1" applyFont="1" applyAlignment="1">
      <alignment horizontal="left"/>
    </xf>
    <xf numFmtId="3" fontId="24" fillId="0" borderId="0" xfId="0" applyNumberFormat="1" applyFont="1" applyAlignment="1">
      <alignment horizontal="center"/>
    </xf>
    <xf numFmtId="0" fontId="2" fillId="4" borderId="16" xfId="0" applyFont="1" applyFill="1" applyBorder="1" applyAlignment="1">
      <alignment horizontal="center"/>
    </xf>
    <xf numFmtId="3" fontId="29" fillId="0" borderId="0" xfId="0" applyNumberFormat="1" applyFont="1" applyAlignment="1">
      <alignment horizontal="center"/>
    </xf>
    <xf numFmtId="0" fontId="24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0" fillId="4" borderId="20" xfId="0" applyFill="1" applyBorder="1"/>
    <xf numFmtId="0" fontId="2" fillId="4" borderId="2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167" fontId="27" fillId="4" borderId="15" xfId="0" applyNumberFormat="1" applyFont="1" applyFill="1" applyBorder="1"/>
    <xf numFmtId="0" fontId="3" fillId="4" borderId="16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 vertical="center"/>
    </xf>
    <xf numFmtId="174" fontId="2" fillId="4" borderId="0" xfId="0" applyNumberFormat="1" applyFont="1" applyFill="1"/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2" fontId="2" fillId="4" borderId="20" xfId="0" applyNumberFormat="1" applyFont="1" applyFill="1" applyBorder="1"/>
    <xf numFmtId="0" fontId="3" fillId="4" borderId="20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/>
    </xf>
    <xf numFmtId="3" fontId="24" fillId="0" borderId="0" xfId="0" applyNumberFormat="1" applyFont="1"/>
    <xf numFmtId="0" fontId="2" fillId="0" borderId="3" xfId="0" applyFont="1" applyBorder="1" applyAlignment="1">
      <alignment horizontal="center" wrapText="1"/>
    </xf>
    <xf numFmtId="169" fontId="0" fillId="0" borderId="0" xfId="0" applyNumberFormat="1"/>
    <xf numFmtId="169" fontId="2" fillId="0" borderId="2" xfId="0" applyNumberFormat="1" applyFont="1" applyBorder="1" applyAlignment="1">
      <alignment horizontal="center" wrapText="1"/>
    </xf>
    <xf numFmtId="169" fontId="3" fillId="0" borderId="3" xfId="0" applyNumberFormat="1" applyFont="1" applyBorder="1" applyAlignment="1">
      <alignment horizontal="center"/>
    </xf>
    <xf numFmtId="169" fontId="0" fillId="0" borderId="0" xfId="0" applyNumberFormat="1" applyAlignment="1">
      <alignment horizontal="right"/>
    </xf>
    <xf numFmtId="0" fontId="2" fillId="0" borderId="8" xfId="0" applyFont="1" applyBorder="1"/>
    <xf numFmtId="168" fontId="0" fillId="0" borderId="11" xfId="0" applyNumberFormat="1" applyBorder="1" applyAlignment="1">
      <alignment horizontal="center"/>
    </xf>
    <xf numFmtId="167" fontId="0" fillId="0" borderId="10" xfId="0" applyNumberFormat="1" applyBorder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3" fillId="5" borderId="0" xfId="0" applyFont="1" applyFill="1" applyAlignment="1">
      <alignment horizontal="center"/>
    </xf>
    <xf numFmtId="0" fontId="26" fillId="5" borderId="0" xfId="0" applyFont="1" applyFill="1" applyAlignment="1">
      <alignment horizontal="center"/>
    </xf>
    <xf numFmtId="169" fontId="0" fillId="5" borderId="0" xfId="0" applyNumberFormat="1" applyFill="1" applyAlignment="1">
      <alignment horizontal="center"/>
    </xf>
    <xf numFmtId="169" fontId="3" fillId="5" borderId="0" xfId="0" applyNumberFormat="1" applyFont="1" applyFill="1" applyAlignment="1">
      <alignment horizontal="center"/>
    </xf>
    <xf numFmtId="169" fontId="26" fillId="5" borderId="0" xfId="0" applyNumberFormat="1" applyFont="1" applyFill="1" applyAlignment="1">
      <alignment horizontal="center"/>
    </xf>
    <xf numFmtId="1" fontId="0" fillId="5" borderId="0" xfId="0" applyNumberFormat="1" applyFill="1" applyAlignment="1">
      <alignment horizontal="center"/>
    </xf>
    <xf numFmtId="1" fontId="26" fillId="5" borderId="0" xfId="0" applyNumberFormat="1" applyFont="1" applyFill="1" applyAlignment="1">
      <alignment horizontal="center"/>
    </xf>
    <xf numFmtId="1" fontId="3" fillId="5" borderId="0" xfId="0" applyNumberFormat="1" applyFont="1" applyFill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4" xfId="0" applyFont="1" applyFill="1" applyBorder="1"/>
    <xf numFmtId="0" fontId="0" fillId="6" borderId="25" xfId="0" applyFill="1" applyBorder="1"/>
    <xf numFmtId="169" fontId="2" fillId="6" borderId="26" xfId="0" applyNumberFormat="1" applyFont="1" applyFill="1" applyBorder="1" applyAlignment="1">
      <alignment horizontal="center"/>
    </xf>
    <xf numFmtId="169" fontId="2" fillId="6" borderId="0" xfId="0" applyNumberFormat="1" applyFont="1" applyFill="1" applyAlignment="1">
      <alignment horizontal="center"/>
    </xf>
    <xf numFmtId="169" fontId="2" fillId="6" borderId="0" xfId="0" applyNumberFormat="1" applyFont="1" applyFill="1" applyAlignment="1">
      <alignment horizontal="left"/>
    </xf>
    <xf numFmtId="0" fontId="0" fillId="6" borderId="27" xfId="0" applyFill="1" applyBorder="1"/>
    <xf numFmtId="169" fontId="2" fillId="6" borderId="28" xfId="0" applyNumberFormat="1" applyFont="1" applyFill="1" applyBorder="1" applyAlignment="1">
      <alignment horizontal="center"/>
    </xf>
    <xf numFmtId="169" fontId="2" fillId="6" borderId="29" xfId="0" applyNumberFormat="1" applyFont="1" applyFill="1" applyBorder="1" applyAlignment="1">
      <alignment horizontal="center"/>
    </xf>
    <xf numFmtId="169" fontId="2" fillId="6" borderId="29" xfId="0" applyNumberFormat="1" applyFont="1" applyFill="1" applyBorder="1" applyAlignment="1">
      <alignment horizontal="left"/>
    </xf>
    <xf numFmtId="0" fontId="0" fillId="6" borderId="30" xfId="0" applyFill="1" applyBorder="1"/>
    <xf numFmtId="1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169" fontId="2" fillId="0" borderId="0" xfId="0" applyNumberFormat="1" applyFont="1" applyAlignment="1">
      <alignment horizontal="left"/>
    </xf>
    <xf numFmtId="0" fontId="3" fillId="0" borderId="27" xfId="0" applyFont="1" applyBorder="1"/>
    <xf numFmtId="0" fontId="0" fillId="7" borderId="18" xfId="0" applyFill="1" applyBorder="1"/>
    <xf numFmtId="0" fontId="24" fillId="7" borderId="0" xfId="0" applyFont="1" applyFill="1" applyAlignment="1">
      <alignment horizontal="center"/>
    </xf>
    <xf numFmtId="0" fontId="2" fillId="7" borderId="18" xfId="0" applyFont="1" applyFill="1" applyBorder="1"/>
    <xf numFmtId="0" fontId="0" fillId="7" borderId="0" xfId="0" applyFill="1"/>
    <xf numFmtId="0" fontId="24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0" fillId="7" borderId="21" xfId="0" applyFill="1" applyBorder="1"/>
    <xf numFmtId="167" fontId="24" fillId="7" borderId="0" xfId="0" applyNumberFormat="1" applyFont="1" applyFill="1" applyAlignment="1">
      <alignment horizontal="center" vertical="center"/>
    </xf>
    <xf numFmtId="0" fontId="0" fillId="7" borderId="20" xfId="0" applyFill="1" applyBorder="1"/>
    <xf numFmtId="0" fontId="0" fillId="7" borderId="22" xfId="0" applyFill="1" applyBorder="1"/>
    <xf numFmtId="0" fontId="32" fillId="7" borderId="0" xfId="0" applyFont="1" applyFill="1" applyAlignment="1">
      <alignment horizontal="center" vertical="center"/>
    </xf>
    <xf numFmtId="0" fontId="3" fillId="7" borderId="0" xfId="0" applyFont="1" applyFill="1"/>
    <xf numFmtId="0" fontId="32" fillId="7" borderId="21" xfId="0" applyFont="1" applyFill="1" applyBorder="1" applyAlignment="1">
      <alignment horizontal="center" vertical="center"/>
    </xf>
    <xf numFmtId="2" fontId="2" fillId="4" borderId="0" xfId="0" applyNumberFormat="1" applyFont="1" applyFill="1" applyAlignment="1">
      <alignment horizontal="center"/>
    </xf>
    <xf numFmtId="0" fontId="2" fillId="4" borderId="23" xfId="0" applyFont="1" applyFill="1" applyBorder="1"/>
    <xf numFmtId="0" fontId="2" fillId="4" borderId="24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164" fontId="2" fillId="4" borderId="0" xfId="0" applyNumberFormat="1" applyFont="1" applyFill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4" borderId="28" xfId="0" applyFont="1" applyFill="1" applyBorder="1"/>
    <xf numFmtId="0" fontId="2" fillId="4" borderId="29" xfId="0" applyFont="1" applyFill="1" applyBorder="1" applyAlignment="1">
      <alignment horizontal="center"/>
    </xf>
    <xf numFmtId="0" fontId="3" fillId="4" borderId="30" xfId="0" applyFont="1" applyFill="1" applyBorder="1" applyAlignment="1">
      <alignment horizontal="center"/>
    </xf>
    <xf numFmtId="0" fontId="2" fillId="4" borderId="26" xfId="0" applyFont="1" applyFill="1" applyBorder="1"/>
    <xf numFmtId="0" fontId="3" fillId="4" borderId="27" xfId="0" applyFont="1" applyFill="1" applyBorder="1" applyAlignment="1">
      <alignment horizontal="center"/>
    </xf>
    <xf numFmtId="4" fontId="24" fillId="7" borderId="2" xfId="0" applyNumberFormat="1" applyFont="1" applyFill="1" applyBorder="1" applyAlignment="1">
      <alignment horizontal="center"/>
    </xf>
    <xf numFmtId="4" fontId="24" fillId="7" borderId="3" xfId="0" applyNumberFormat="1" applyFont="1" applyFill="1" applyBorder="1" applyAlignment="1">
      <alignment horizontal="center"/>
    </xf>
    <xf numFmtId="3" fontId="2" fillId="4" borderId="0" xfId="0" applyNumberFormat="1" applyFont="1" applyFill="1" applyAlignment="1">
      <alignment horizontal="center"/>
    </xf>
    <xf numFmtId="172" fontId="2" fillId="4" borderId="19" xfId="0" applyNumberFormat="1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4" fillId="7" borderId="0" xfId="0" applyFont="1" applyFill="1"/>
    <xf numFmtId="0" fontId="24" fillId="7" borderId="21" xfId="0" applyFont="1" applyFill="1" applyBorder="1"/>
    <xf numFmtId="0" fontId="29" fillId="7" borderId="21" xfId="0" applyFont="1" applyFill="1" applyBorder="1"/>
    <xf numFmtId="3" fontId="24" fillId="7" borderId="20" xfId="0" applyNumberFormat="1" applyFont="1" applyFill="1" applyBorder="1"/>
    <xf numFmtId="3" fontId="24" fillId="7" borderId="22" xfId="0" applyNumberFormat="1" applyFont="1" applyFill="1" applyBorder="1"/>
    <xf numFmtId="1" fontId="3" fillId="0" borderId="11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26" fillId="0" borderId="11" xfId="0" applyNumberFormat="1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31" xfId="0" applyNumberFormat="1" applyFont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7" borderId="1" xfId="0" applyFill="1" applyBorder="1"/>
    <xf numFmtId="0" fontId="4" fillId="7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4" fontId="3" fillId="7" borderId="2" xfId="0" applyNumberFormat="1" applyFont="1" applyFill="1" applyBorder="1" applyAlignment="1">
      <alignment horizontal="center"/>
    </xf>
    <xf numFmtId="3" fontId="3" fillId="7" borderId="2" xfId="0" applyNumberFormat="1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4" fontId="3" fillId="7" borderId="3" xfId="0" applyNumberFormat="1" applyFont="1" applyFill="1" applyBorder="1" applyAlignment="1">
      <alignment horizontal="center"/>
    </xf>
    <xf numFmtId="3" fontId="3" fillId="7" borderId="3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24" fillId="7" borderId="2" xfId="0" applyNumberFormat="1" applyFont="1" applyFill="1" applyBorder="1" applyAlignment="1">
      <alignment horizontal="center"/>
    </xf>
    <xf numFmtId="3" fontId="24" fillId="7" borderId="3" xfId="0" applyNumberFormat="1" applyFont="1" applyFill="1" applyBorder="1" applyAlignment="1">
      <alignment horizontal="center"/>
    </xf>
    <xf numFmtId="171" fontId="2" fillId="4" borderId="0" xfId="0" applyNumberFormat="1" applyFont="1" applyFill="1" applyAlignment="1">
      <alignment horizontal="center"/>
    </xf>
    <xf numFmtId="169" fontId="2" fillId="4" borderId="0" xfId="0" applyNumberFormat="1" applyFont="1" applyFill="1" applyAlignment="1">
      <alignment horizontal="center"/>
    </xf>
    <xf numFmtId="0" fontId="0" fillId="7" borderId="0" xfId="0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169" fontId="3" fillId="7" borderId="0" xfId="0" applyNumberFormat="1" applyFont="1" applyFill="1" applyAlignment="1">
      <alignment horizontal="center" vertical="center"/>
    </xf>
    <xf numFmtId="0" fontId="0" fillId="7" borderId="0" xfId="0" applyFill="1" applyAlignment="1">
      <alignment horizontal="left"/>
    </xf>
    <xf numFmtId="0" fontId="0" fillId="7" borderId="0" xfId="0" applyFill="1" applyAlignment="1">
      <alignment horizontal="right" vertical="center"/>
    </xf>
    <xf numFmtId="0" fontId="26" fillId="7" borderId="0" xfId="0" applyFont="1" applyFill="1"/>
    <xf numFmtId="0" fontId="17" fillId="7" borderId="0" xfId="0" applyFont="1" applyFill="1" applyAlignment="1">
      <alignment vertical="center"/>
    </xf>
    <xf numFmtId="0" fontId="28" fillId="7" borderId="0" xfId="0" applyFont="1" applyFill="1" applyAlignment="1">
      <alignment horizontal="center" vertical="center"/>
    </xf>
    <xf numFmtId="0" fontId="2" fillId="7" borderId="15" xfId="0" applyFont="1" applyFill="1" applyBorder="1"/>
    <xf numFmtId="0" fontId="24" fillId="7" borderId="16" xfId="0" applyFont="1" applyFill="1" applyBorder="1" applyAlignment="1">
      <alignment horizontal="center" vertical="center"/>
    </xf>
    <xf numFmtId="0" fontId="24" fillId="7" borderId="16" xfId="0" applyFont="1" applyFill="1" applyBorder="1" applyAlignment="1">
      <alignment horizontal="center"/>
    </xf>
    <xf numFmtId="0" fontId="0" fillId="7" borderId="17" xfId="0" applyFill="1" applyBorder="1"/>
    <xf numFmtId="0" fontId="0" fillId="7" borderId="15" xfId="0" applyFill="1" applyBorder="1"/>
    <xf numFmtId="0" fontId="2" fillId="7" borderId="16" xfId="0" applyFont="1" applyFill="1" applyBorder="1"/>
    <xf numFmtId="0" fontId="2" fillId="7" borderId="17" xfId="0" applyFont="1" applyFill="1" applyBorder="1"/>
    <xf numFmtId="3" fontId="2" fillId="4" borderId="18" xfId="0" applyNumberFormat="1" applyFont="1" applyFill="1" applyBorder="1" applyAlignment="1">
      <alignment horizontal="center"/>
    </xf>
    <xf numFmtId="3" fontId="2" fillId="4" borderId="20" xfId="0" applyNumberFormat="1" applyFont="1" applyFill="1" applyBorder="1" applyAlignment="1">
      <alignment horizontal="center"/>
    </xf>
    <xf numFmtId="2" fontId="2" fillId="4" borderId="21" xfId="0" applyNumberFormat="1" applyFont="1" applyFill="1" applyBorder="1" applyAlignment="1">
      <alignment horizontal="center"/>
    </xf>
    <xf numFmtId="0" fontId="2" fillId="7" borderId="23" xfId="0" applyFont="1" applyFill="1" applyBorder="1"/>
    <xf numFmtId="0" fontId="2" fillId="7" borderId="24" xfId="0" applyFont="1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12" fillId="7" borderId="26" xfId="0" applyFont="1" applyFill="1" applyBorder="1" applyAlignment="1">
      <alignment horizontal="center"/>
    </xf>
    <xf numFmtId="0" fontId="12" fillId="7" borderId="27" xfId="0" applyFont="1" applyFill="1" applyBorder="1" applyAlignment="1">
      <alignment horizontal="center"/>
    </xf>
    <xf numFmtId="0" fontId="2" fillId="7" borderId="28" xfId="0" applyFont="1" applyFill="1" applyBorder="1"/>
    <xf numFmtId="0" fontId="2" fillId="7" borderId="29" xfId="0" applyFont="1" applyFill="1" applyBorder="1" applyAlignment="1">
      <alignment horizontal="center"/>
    </xf>
    <xf numFmtId="0" fontId="0" fillId="7" borderId="30" xfId="0" applyFill="1" applyBorder="1" applyAlignment="1">
      <alignment horizontal="center"/>
    </xf>
    <xf numFmtId="0" fontId="0" fillId="7" borderId="23" xfId="0" applyFill="1" applyBorder="1"/>
    <xf numFmtId="0" fontId="0" fillId="7" borderId="24" xfId="0" applyFill="1" applyBorder="1" applyAlignment="1">
      <alignment horizontal="center"/>
    </xf>
    <xf numFmtId="0" fontId="0" fillId="7" borderId="28" xfId="0" applyFill="1" applyBorder="1"/>
    <xf numFmtId="0" fontId="0" fillId="7" borderId="29" xfId="0" applyFill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2" fillId="7" borderId="16" xfId="0" applyFont="1" applyFill="1" applyBorder="1" applyAlignment="1">
      <alignment horizontal="center"/>
    </xf>
    <xf numFmtId="3" fontId="24" fillId="7" borderId="22" xfId="0" applyNumberFormat="1" applyFont="1" applyFill="1" applyBorder="1" applyAlignment="1">
      <alignment horizontal="center"/>
    </xf>
    <xf numFmtId="0" fontId="3" fillId="0" borderId="0" xfId="0" quotePrefix="1" applyFont="1" applyAlignment="1">
      <alignment horizontal="left"/>
    </xf>
    <xf numFmtId="4" fontId="9" fillId="0" borderId="0" xfId="0" applyNumberFormat="1" applyFont="1"/>
    <xf numFmtId="173" fontId="2" fillId="0" borderId="0" xfId="0" applyNumberFormat="1" applyFont="1" applyAlignment="1">
      <alignment horizontal="center"/>
    </xf>
    <xf numFmtId="171" fontId="24" fillId="7" borderId="7" xfId="0" applyNumberFormat="1" applyFont="1" applyFill="1" applyBorder="1" applyAlignment="1">
      <alignment horizontal="center"/>
    </xf>
    <xf numFmtId="171" fontId="24" fillId="7" borderId="6" xfId="0" applyNumberFormat="1" applyFont="1" applyFill="1" applyBorder="1" applyAlignment="1">
      <alignment horizontal="center"/>
    </xf>
    <xf numFmtId="169" fontId="2" fillId="7" borderId="10" xfId="0" applyNumberFormat="1" applyFont="1" applyFill="1" applyBorder="1" applyAlignment="1">
      <alignment horizontal="left"/>
    </xf>
    <xf numFmtId="0" fontId="2" fillId="7" borderId="12" xfId="0" applyFont="1" applyFill="1" applyBorder="1"/>
    <xf numFmtId="0" fontId="2" fillId="7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167" fontId="24" fillId="7" borderId="11" xfId="0" applyNumberFormat="1" applyFont="1" applyFill="1" applyBorder="1" applyAlignment="1">
      <alignment horizontal="center" vertical="center"/>
    </xf>
    <xf numFmtId="0" fontId="24" fillId="7" borderId="11" xfId="0" applyFont="1" applyFill="1" applyBorder="1"/>
    <xf numFmtId="2" fontId="24" fillId="7" borderId="0" xfId="0" applyNumberFormat="1" applyFont="1" applyFill="1" applyAlignment="1">
      <alignment horizontal="center"/>
    </xf>
    <xf numFmtId="0" fontId="11" fillId="7" borderId="0" xfId="0" applyFont="1" applyFill="1" applyAlignment="1">
      <alignment horizontal="center"/>
    </xf>
    <xf numFmtId="169" fontId="0" fillId="7" borderId="0" xfId="0" applyNumberFormat="1" applyFill="1" applyAlignment="1">
      <alignment horizontal="center"/>
    </xf>
    <xf numFmtId="167" fontId="24" fillId="7" borderId="20" xfId="0" applyNumberFormat="1" applyFont="1" applyFill="1" applyBorder="1" applyAlignment="1">
      <alignment horizontal="center" vertical="center"/>
    </xf>
    <xf numFmtId="174" fontId="3" fillId="0" borderId="0" xfId="0" applyNumberFormat="1" applyFont="1"/>
    <xf numFmtId="174" fontId="3" fillId="0" borderId="21" xfId="0" applyNumberFormat="1" applyFont="1" applyBorder="1"/>
    <xf numFmtId="0" fontId="1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8" borderId="4" xfId="0" applyFont="1" applyFill="1" applyBorder="1"/>
    <xf numFmtId="0" fontId="2" fillId="8" borderId="5" xfId="0" applyFont="1" applyFill="1" applyBorder="1"/>
    <xf numFmtId="0" fontId="2" fillId="8" borderId="4" xfId="0" applyFont="1" applyFill="1" applyBorder="1" applyAlignment="1">
      <alignment horizontal="right"/>
    </xf>
    <xf numFmtId="0" fontId="2" fillId="8" borderId="7" xfId="0" applyFont="1" applyFill="1" applyBorder="1" applyAlignment="1">
      <alignment horizontal="right"/>
    </xf>
    <xf numFmtId="0" fontId="11" fillId="7" borderId="1" xfId="0" applyFont="1" applyFill="1" applyBorder="1" applyAlignment="1">
      <alignment horizontal="center"/>
    </xf>
    <xf numFmtId="168" fontId="33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1" fontId="26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center"/>
    </xf>
    <xf numFmtId="0" fontId="3" fillId="0" borderId="18" xfId="0" applyFont="1" applyBorder="1" applyAlignment="1">
      <alignment horizontal="center"/>
    </xf>
    <xf numFmtId="168" fontId="5" fillId="0" borderId="21" xfId="0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168" fontId="33" fillId="0" borderId="21" xfId="0" applyNumberFormat="1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170" fontId="3" fillId="0" borderId="18" xfId="0" applyNumberFormat="1" applyFont="1" applyBorder="1" applyAlignment="1">
      <alignment horizontal="center"/>
    </xf>
    <xf numFmtId="168" fontId="6" fillId="0" borderId="21" xfId="0" applyNumberFormat="1" applyFont="1" applyBorder="1" applyAlignment="1">
      <alignment horizontal="center"/>
    </xf>
    <xf numFmtId="167" fontId="3" fillId="0" borderId="18" xfId="0" applyNumberFormat="1" applyFont="1" applyBorder="1" applyAlignment="1">
      <alignment horizontal="center"/>
    </xf>
    <xf numFmtId="167" fontId="3" fillId="0" borderId="19" xfId="0" applyNumberFormat="1" applyFont="1" applyBorder="1" applyAlignment="1">
      <alignment horizontal="center"/>
    </xf>
    <xf numFmtId="168" fontId="6" fillId="0" borderId="20" xfId="0" applyNumberFormat="1" applyFont="1" applyBorder="1" applyAlignment="1">
      <alignment horizontal="center"/>
    </xf>
    <xf numFmtId="1" fontId="3" fillId="0" borderId="20" xfId="0" applyNumberFormat="1" applyFont="1" applyBorder="1" applyAlignment="1">
      <alignment horizontal="center"/>
    </xf>
    <xf numFmtId="168" fontId="6" fillId="0" borderId="22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164" fontId="12" fillId="9" borderId="0" xfId="0" applyNumberFormat="1" applyFont="1" applyFill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>
      <alignment horizontal="center"/>
    </xf>
    <xf numFmtId="174" fontId="3" fillId="0" borderId="11" xfId="0" applyNumberFormat="1" applyFont="1" applyBorder="1" applyAlignment="1">
      <alignment horizontal="center"/>
    </xf>
    <xf numFmtId="167" fontId="3" fillId="0" borderId="4" xfId="0" applyNumberFormat="1" applyFont="1" applyBorder="1" applyAlignment="1">
      <alignment horizontal="center" vertical="center"/>
    </xf>
    <xf numFmtId="174" fontId="3" fillId="0" borderId="0" xfId="0" applyNumberFormat="1" applyFont="1" applyAlignment="1">
      <alignment horizontal="center"/>
    </xf>
    <xf numFmtId="0" fontId="2" fillId="4" borderId="24" xfId="0" applyFont="1" applyFill="1" applyBorder="1"/>
    <xf numFmtId="0" fontId="2" fillId="4" borderId="0" xfId="0" applyFont="1" applyFill="1"/>
    <xf numFmtId="2" fontId="2" fillId="8" borderId="5" xfId="0" applyNumberFormat="1" applyFont="1" applyFill="1" applyBorder="1" applyAlignment="1">
      <alignment horizontal="left"/>
    </xf>
    <xf numFmtId="2" fontId="2" fillId="8" borderId="6" xfId="0" applyNumberFormat="1" applyFont="1" applyFill="1" applyBorder="1" applyAlignment="1">
      <alignment horizontal="left"/>
    </xf>
    <xf numFmtId="167" fontId="3" fillId="9" borderId="4" xfId="0" applyNumberFormat="1" applyFont="1" applyFill="1" applyBorder="1" applyAlignment="1">
      <alignment horizontal="center" vertical="center"/>
    </xf>
    <xf numFmtId="174" fontId="3" fillId="9" borderId="0" xfId="0" applyNumberFormat="1" applyFont="1" applyFill="1" applyAlignment="1">
      <alignment horizontal="center"/>
    </xf>
    <xf numFmtId="1" fontId="3" fillId="9" borderId="0" xfId="0" applyNumberFormat="1" applyFont="1" applyFill="1" applyAlignment="1">
      <alignment horizontal="center"/>
    </xf>
    <xf numFmtId="168" fontId="5" fillId="9" borderId="21" xfId="0" applyNumberFormat="1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167" fontId="3" fillId="9" borderId="10" xfId="0" applyNumberFormat="1" applyFont="1" applyFill="1" applyBorder="1" applyAlignment="1">
      <alignment horizontal="center"/>
    </xf>
    <xf numFmtId="174" fontId="3" fillId="9" borderId="11" xfId="0" applyNumberFormat="1" applyFont="1" applyFill="1" applyBorder="1" applyAlignment="1">
      <alignment horizontal="center"/>
    </xf>
    <xf numFmtId="1" fontId="3" fillId="9" borderId="11" xfId="0" applyNumberFormat="1" applyFont="1" applyFill="1" applyBorder="1" applyAlignment="1">
      <alignment horizontal="center"/>
    </xf>
    <xf numFmtId="168" fontId="3" fillId="9" borderId="11" xfId="0" applyNumberFormat="1" applyFont="1" applyFill="1" applyBorder="1" applyAlignment="1">
      <alignment horizontal="center"/>
    </xf>
    <xf numFmtId="0" fontId="2" fillId="7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2" fillId="7" borderId="0" xfId="0" applyFont="1" applyFill="1" applyAlignment="1">
      <alignment horizontal="center"/>
    </xf>
    <xf numFmtId="0" fontId="9" fillId="7" borderId="0" xfId="0" applyFont="1" applyFill="1" applyAlignment="1">
      <alignment horizontal="left"/>
    </xf>
    <xf numFmtId="0" fontId="17" fillId="7" borderId="13" xfId="0" applyFont="1" applyFill="1" applyBorder="1" applyAlignment="1">
      <alignment horizontal="center"/>
    </xf>
    <xf numFmtId="0" fontId="17" fillId="7" borderId="6" xfId="0" applyFont="1" applyFill="1" applyBorder="1" applyAlignment="1">
      <alignment horizontal="center"/>
    </xf>
    <xf numFmtId="0" fontId="9" fillId="7" borderId="8" xfId="0" applyFont="1" applyFill="1" applyBorder="1" applyAlignment="1">
      <alignment horizontal="center"/>
    </xf>
    <xf numFmtId="0" fontId="9" fillId="7" borderId="9" xfId="0" applyFont="1" applyFill="1" applyBorder="1" applyAlignment="1">
      <alignment horizontal="center"/>
    </xf>
    <xf numFmtId="0" fontId="34" fillId="7" borderId="0" xfId="0" applyFont="1" applyFill="1" applyAlignment="1">
      <alignment vertical="center"/>
    </xf>
    <xf numFmtId="0" fontId="3" fillId="9" borderId="0" xfId="0" applyFont="1" applyFill="1" applyAlignment="1">
      <alignment horizontal="center"/>
    </xf>
    <xf numFmtId="2" fontId="3" fillId="9" borderId="0" xfId="0" applyNumberFormat="1" applyFont="1" applyFill="1" applyAlignment="1">
      <alignment horizontal="center"/>
    </xf>
    <xf numFmtId="2" fontId="26" fillId="9" borderId="0" xfId="0" applyNumberFormat="1" applyFont="1" applyFill="1" applyAlignment="1">
      <alignment horizontal="center"/>
    </xf>
    <xf numFmtId="10" fontId="26" fillId="9" borderId="0" xfId="0" applyNumberFormat="1" applyFont="1" applyFill="1" applyAlignment="1">
      <alignment horizontal="center"/>
    </xf>
    <xf numFmtId="169" fontId="26" fillId="9" borderId="0" xfId="0" applyNumberFormat="1" applyFont="1" applyFill="1" applyAlignment="1">
      <alignment horizontal="center"/>
    </xf>
    <xf numFmtId="169" fontId="27" fillId="9" borderId="0" xfId="0" applyNumberFormat="1" applyFont="1" applyFill="1" applyAlignment="1">
      <alignment horizontal="center"/>
    </xf>
    <xf numFmtId="0" fontId="26" fillId="9" borderId="0" xfId="0" applyFont="1" applyFill="1" applyAlignment="1">
      <alignment horizontal="center"/>
    </xf>
    <xf numFmtId="169" fontId="0" fillId="9" borderId="0" xfId="0" applyNumberFormat="1" applyFill="1"/>
    <xf numFmtId="0" fontId="26" fillId="9" borderId="0" xfId="0" applyFont="1" applyFill="1"/>
    <xf numFmtId="10" fontId="3" fillId="9" borderId="0" xfId="0" applyNumberFormat="1" applyFont="1" applyFill="1" applyAlignment="1">
      <alignment horizontal="center"/>
    </xf>
    <xf numFmtId="169" fontId="3" fillId="9" borderId="0" xfId="0" applyNumberFormat="1" applyFont="1" applyFill="1" applyAlignment="1">
      <alignment horizontal="center"/>
    </xf>
    <xf numFmtId="169" fontId="2" fillId="9" borderId="0" xfId="0" applyNumberFormat="1" applyFont="1" applyFill="1" applyAlignment="1">
      <alignment horizontal="center"/>
    </xf>
    <xf numFmtId="0" fontId="3" fillId="9" borderId="0" xfId="0" applyFont="1" applyFill="1"/>
    <xf numFmtId="0" fontId="0" fillId="9" borderId="0" xfId="0" applyFill="1"/>
    <xf numFmtId="2" fontId="11" fillId="9" borderId="0" xfId="0" applyNumberFormat="1" applyFont="1" applyFill="1" applyAlignment="1">
      <alignment horizontal="center"/>
    </xf>
    <xf numFmtId="2" fontId="0" fillId="9" borderId="0" xfId="0" applyNumberFormat="1" applyFill="1" applyAlignment="1">
      <alignment horizontal="center"/>
    </xf>
    <xf numFmtId="1" fontId="3" fillId="10" borderId="0" xfId="0" applyNumberFormat="1" applyFont="1" applyFill="1" applyAlignment="1">
      <alignment horizontal="center"/>
    </xf>
    <xf numFmtId="2" fontId="3" fillId="10" borderId="0" xfId="0" applyNumberFormat="1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2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4" fillId="7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5" fillId="7" borderId="8" xfId="0" applyFont="1" applyFill="1" applyBorder="1" applyAlignment="1">
      <alignment horizontal="center"/>
    </xf>
    <xf numFmtId="0" fontId="25" fillId="7" borderId="9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175" fontId="2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9" fontId="2" fillId="8" borderId="10" xfId="0" applyNumberFormat="1" applyFont="1" applyFill="1" applyBorder="1" applyAlignment="1">
      <alignment horizontal="center"/>
    </xf>
    <xf numFmtId="169" fontId="2" fillId="8" borderId="12" xfId="0" applyNumberFormat="1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/>
    <xf numFmtId="0" fontId="2" fillId="0" borderId="0" xfId="0" applyFont="1" applyAlignment="1">
      <alignment horizontal="right"/>
    </xf>
    <xf numFmtId="0" fontId="3" fillId="9" borderId="0" xfId="0" applyFont="1" applyFill="1" applyAlignment="1">
      <alignment horizontal="center"/>
    </xf>
    <xf numFmtId="0" fontId="3" fillId="9" borderId="4" xfId="0" applyFont="1" applyFill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20" fillId="0" borderId="0" xfId="0" applyFont="1" applyAlignment="1">
      <alignment horizontal="center"/>
    </xf>
    <xf numFmtId="174" fontId="27" fillId="4" borderId="20" xfId="0" applyNumberFormat="1" applyFont="1" applyFill="1" applyBorder="1" applyAlignment="1">
      <alignment horizontal="left"/>
    </xf>
    <xf numFmtId="174" fontId="27" fillId="4" borderId="22" xfId="0" applyNumberFormat="1" applyFont="1" applyFill="1" applyBorder="1" applyAlignment="1">
      <alignment horizontal="left"/>
    </xf>
    <xf numFmtId="174" fontId="27" fillId="4" borderId="0" xfId="0" applyNumberFormat="1" applyFont="1" applyFill="1" applyAlignment="1">
      <alignment horizontal="left"/>
    </xf>
    <xf numFmtId="174" fontId="27" fillId="4" borderId="21" xfId="0" applyNumberFormat="1" applyFont="1" applyFill="1" applyBorder="1" applyAlignment="1">
      <alignment horizontal="left"/>
    </xf>
    <xf numFmtId="0" fontId="3" fillId="7" borderId="18" xfId="0" applyFont="1" applyFill="1" applyBorder="1" applyAlignment="1">
      <alignment horizontal="right"/>
    </xf>
    <xf numFmtId="0" fontId="3" fillId="7" borderId="0" xfId="0" applyFont="1" applyFill="1" applyAlignment="1">
      <alignment horizontal="right"/>
    </xf>
    <xf numFmtId="0" fontId="3" fillId="7" borderId="18" xfId="0" applyFont="1" applyFill="1" applyBorder="1" applyAlignment="1">
      <alignment horizontal="right" vertical="center"/>
    </xf>
    <xf numFmtId="0" fontId="3" fillId="7" borderId="0" xfId="0" applyFont="1" applyFill="1" applyAlignment="1">
      <alignment horizontal="right" vertical="center"/>
    </xf>
    <xf numFmtId="0" fontId="3" fillId="7" borderId="19" xfId="0" applyFont="1" applyFill="1" applyBorder="1" applyAlignment="1">
      <alignment horizontal="right"/>
    </xf>
    <xf numFmtId="0" fontId="3" fillId="7" borderId="20" xfId="0" applyFont="1" applyFill="1" applyBorder="1" applyAlignment="1">
      <alignment horizontal="right"/>
    </xf>
    <xf numFmtId="174" fontId="27" fillId="4" borderId="0" xfId="0" applyNumberFormat="1" applyFont="1" applyFill="1" applyAlignment="1">
      <alignment horizontal="center"/>
    </xf>
    <xf numFmtId="174" fontId="27" fillId="4" borderId="20" xfId="0" applyNumberFormat="1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7" xfId="0" applyFont="1" applyFill="1" applyBorder="1" applyAlignment="1">
      <alignment horizontal="left"/>
    </xf>
    <xf numFmtId="0" fontId="2" fillId="4" borderId="16" xfId="0" applyFont="1" applyFill="1" applyBorder="1" applyAlignment="1">
      <alignment horizontal="center"/>
    </xf>
    <xf numFmtId="0" fontId="0" fillId="0" borderId="17" xfId="0" applyBorder="1" applyAlignment="1"/>
    <xf numFmtId="0" fontId="0" fillId="7" borderId="0" xfId="0" applyFill="1" applyAlignment="1">
      <alignment horizontal="right"/>
    </xf>
    <xf numFmtId="0" fontId="18" fillId="0" borderId="0" xfId="0" applyFont="1" applyAlignment="1">
      <alignment horizontal="center" vertical="center"/>
    </xf>
    <xf numFmtId="0" fontId="2" fillId="4" borderId="15" xfId="0" applyFont="1" applyFill="1" applyBorder="1" applyAlignment="1">
      <alignment horizontal="center"/>
    </xf>
  </cellXfs>
  <cellStyles count="3">
    <cellStyle name="Check Cell" xfId="1" builtinId="2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92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Distribution System Losses (%) - </a:t>
            </a:r>
            <a:r>
              <a:rPr lang="en-US" sz="155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1995</a:t>
            </a:r>
          </a:p>
        </c:rich>
      </c:tx>
      <c:layout>
        <c:manualLayout>
          <c:xMode val="edge"/>
          <c:yMode val="edge"/>
          <c:x val="0.21385190487552694"/>
          <c:y val="2.71564985674500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07661985769233"/>
          <c:y val="0.13418530351437699"/>
          <c:w val="0.82017059595859509"/>
          <c:h val="0.706070287539936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1995'!$M$5:$M$31</c:f>
              <c:numCache>
                <c:formatCode>0.00%</c:formatCode>
                <c:ptCount val="27"/>
                <c:pt idx="0">
                  <c:v>5.3281690444859781E-2</c:v>
                </c:pt>
                <c:pt idx="1">
                  <c:v>4.7423236869618628E-2</c:v>
                </c:pt>
                <c:pt idx="2">
                  <c:v>4.3266572608018715E-2</c:v>
                </c:pt>
                <c:pt idx="3">
                  <c:v>4.0244011047760389E-2</c:v>
                </c:pt>
                <c:pt idx="4">
                  <c:v>3.8014941091491831E-2</c:v>
                </c:pt>
                <c:pt idx="5">
                  <c:v>3.6362611011717214E-2</c:v>
                </c:pt>
                <c:pt idx="6">
                  <c:v>3.5142520378255361E-2</c:v>
                </c:pt>
                <c:pt idx="7">
                  <c:v>3.4254631096106158E-2</c:v>
                </c:pt>
                <c:pt idx="8">
                  <c:v>3.3627487998521007E-2</c:v>
                </c:pt>
                <c:pt idx="9">
                  <c:v>3.3208691202848653E-2</c:v>
                </c:pt>
                <c:pt idx="10">
                  <c:v>3.2958941332942179E-2</c:v>
                </c:pt>
                <c:pt idx="11">
                  <c:v>3.2848186427778495E-2</c:v>
                </c:pt>
                <c:pt idx="12">
                  <c:v>3.2853053213874189E-2</c:v>
                </c:pt>
                <c:pt idx="13">
                  <c:v>3.2955089554836156E-2</c:v>
                </c:pt>
                <c:pt idx="14">
                  <c:v>3.3139534166049589E-2</c:v>
                </c:pt>
                <c:pt idx="15">
                  <c:v>3.3394437839457655E-2</c:v>
                </c:pt>
                <c:pt idx="16">
                  <c:v>3.3710024334312805E-2</c:v>
                </c:pt>
                <c:pt idx="17">
                  <c:v>3.4078217992082195E-2</c:v>
                </c:pt>
                <c:pt idx="18">
                  <c:v>3.4492289447628839E-2</c:v>
                </c:pt>
                <c:pt idx="19">
                  <c:v>3.4946586369711562E-2</c:v>
                </c:pt>
                <c:pt idx="20">
                  <c:v>3.5436326338294508E-2</c:v>
                </c:pt>
                <c:pt idx="21">
                  <c:v>3.5957435749123197E-2</c:v>
                </c:pt>
                <c:pt idx="22">
                  <c:v>3.650642323875046E-2</c:v>
                </c:pt>
                <c:pt idx="23">
                  <c:v>3.7080279297489825E-2</c:v>
                </c:pt>
                <c:pt idx="24">
                  <c:v>3.7676395959779806E-2</c:v>
                </c:pt>
                <c:pt idx="25">
                  <c:v>3.8292502038350607E-2</c:v>
                </c:pt>
                <c:pt idx="26">
                  <c:v>3.8926610501985849E-2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1A-4281-A216-4EAA11BB7C3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val>
            <c:numRef>
              <c:f>'Loss Analysis 1995'!$N$5:$N$31</c:f>
              <c:numCache>
                <c:formatCode>0.00%</c:formatCode>
                <c:ptCount val="27"/>
                <c:pt idx="0">
                  <c:v>1.0406870385737734E-2</c:v>
                </c:pt>
                <c:pt idx="1">
                  <c:v>1.2141348783360689E-2</c:v>
                </c:pt>
                <c:pt idx="2">
                  <c:v>1.3875827180983643E-2</c:v>
                </c:pt>
                <c:pt idx="3">
                  <c:v>1.56103055786066E-2</c:v>
                </c:pt>
                <c:pt idx="4">
                  <c:v>1.7344783976229555E-2</c:v>
                </c:pt>
                <c:pt idx="5">
                  <c:v>1.9079262373852511E-2</c:v>
                </c:pt>
                <c:pt idx="6">
                  <c:v>2.0813740771475468E-2</c:v>
                </c:pt>
                <c:pt idx="7">
                  <c:v>2.2548219169098424E-2</c:v>
                </c:pt>
                <c:pt idx="8">
                  <c:v>2.4282697566721377E-2</c:v>
                </c:pt>
                <c:pt idx="9">
                  <c:v>2.6017175964344334E-2</c:v>
                </c:pt>
                <c:pt idx="10">
                  <c:v>2.7751654361967287E-2</c:v>
                </c:pt>
                <c:pt idx="11">
                  <c:v>2.9486132759590247E-2</c:v>
                </c:pt>
                <c:pt idx="12">
                  <c:v>3.12206111572132E-2</c:v>
                </c:pt>
                <c:pt idx="13">
                  <c:v>3.2955089554836156E-2</c:v>
                </c:pt>
                <c:pt idx="14">
                  <c:v>3.4689567952459109E-2</c:v>
                </c:pt>
                <c:pt idx="15">
                  <c:v>3.6424046350082069E-2</c:v>
                </c:pt>
                <c:pt idx="16">
                  <c:v>3.8158524747705022E-2</c:v>
                </c:pt>
                <c:pt idx="17">
                  <c:v>3.9893003145327975E-2</c:v>
                </c:pt>
                <c:pt idx="18">
                  <c:v>4.1627481542950935E-2</c:v>
                </c:pt>
                <c:pt idx="19">
                  <c:v>4.3361959940573895E-2</c:v>
                </c:pt>
                <c:pt idx="20">
                  <c:v>4.5096438338196848E-2</c:v>
                </c:pt>
                <c:pt idx="21">
                  <c:v>4.6830916735819801E-2</c:v>
                </c:pt>
                <c:pt idx="22">
                  <c:v>4.8565395133442754E-2</c:v>
                </c:pt>
                <c:pt idx="23">
                  <c:v>5.0299873531065714E-2</c:v>
                </c:pt>
                <c:pt idx="24">
                  <c:v>5.2034351928688667E-2</c:v>
                </c:pt>
                <c:pt idx="25">
                  <c:v>5.376883032631162E-2</c:v>
                </c:pt>
                <c:pt idx="26">
                  <c:v>5.5503308723934573E-2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1A-4281-A216-4EAA11BB7C39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lgDash"/>
            </a:ln>
          </c:spPr>
          <c:marker>
            <c:symbol val="none"/>
          </c:marker>
          <c:val>
            <c:numRef>
              <c:f>'Loss Analysis 1995'!$P$5:$P$31</c:f>
              <c:numCache>
                <c:formatCode>0.00%</c:formatCode>
                <c:ptCount val="27"/>
                <c:pt idx="0">
                  <c:v>2.8445445721016472E-2</c:v>
                </c:pt>
                <c:pt idx="1">
                  <c:v>2.8792341400541065E-2</c:v>
                </c:pt>
                <c:pt idx="2">
                  <c:v>2.9139237080065654E-2</c:v>
                </c:pt>
                <c:pt idx="3">
                  <c:v>2.9486132759590247E-2</c:v>
                </c:pt>
                <c:pt idx="4">
                  <c:v>2.9833028439114836E-2</c:v>
                </c:pt>
                <c:pt idx="5">
                  <c:v>3.0179924118639428E-2</c:v>
                </c:pt>
                <c:pt idx="6">
                  <c:v>3.0526819798164018E-2</c:v>
                </c:pt>
                <c:pt idx="7">
                  <c:v>3.087371547768861E-2</c:v>
                </c:pt>
                <c:pt idx="8">
                  <c:v>3.1220611157213203E-2</c:v>
                </c:pt>
                <c:pt idx="9">
                  <c:v>3.1567506836737792E-2</c:v>
                </c:pt>
                <c:pt idx="10">
                  <c:v>3.1914402516262382E-2</c:v>
                </c:pt>
                <c:pt idx="11">
                  <c:v>3.2261298195786978E-2</c:v>
                </c:pt>
                <c:pt idx="12">
                  <c:v>3.2608193875311567E-2</c:v>
                </c:pt>
                <c:pt idx="13">
                  <c:v>3.2955089554836156E-2</c:v>
                </c:pt>
                <c:pt idx="14">
                  <c:v>3.3301985234360745E-2</c:v>
                </c:pt>
                <c:pt idx="15">
                  <c:v>3.3648880913885341E-2</c:v>
                </c:pt>
                <c:pt idx="16">
                  <c:v>3.3995776593409931E-2</c:v>
                </c:pt>
                <c:pt idx="17">
                  <c:v>3.434267227293452E-2</c:v>
                </c:pt>
                <c:pt idx="18">
                  <c:v>3.4689567952459109E-2</c:v>
                </c:pt>
                <c:pt idx="19">
                  <c:v>3.5036463631983705E-2</c:v>
                </c:pt>
                <c:pt idx="20">
                  <c:v>3.5383359311508294E-2</c:v>
                </c:pt>
                <c:pt idx="21">
                  <c:v>3.5730254991032884E-2</c:v>
                </c:pt>
                <c:pt idx="22">
                  <c:v>3.6077150670557473E-2</c:v>
                </c:pt>
                <c:pt idx="23">
                  <c:v>3.6424046350082062E-2</c:v>
                </c:pt>
                <c:pt idx="24">
                  <c:v>3.6770942029606658E-2</c:v>
                </c:pt>
                <c:pt idx="25">
                  <c:v>3.7117837709131248E-2</c:v>
                </c:pt>
                <c:pt idx="26">
                  <c:v>3.7464733388655837E-2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1A-4281-A216-4EAA11BB7C39}"/>
            </c:ext>
          </c:extLst>
        </c:ser>
        <c:ser>
          <c:idx val="3"/>
          <c:order val="3"/>
          <c:spPr>
            <a:ln w="12700">
              <a:solidFill>
                <a:srgbClr val="993366"/>
              </a:solidFill>
              <a:prstDash val="lgDashDotDot"/>
            </a:ln>
          </c:spPr>
          <c:marker>
            <c:symbol val="none"/>
          </c:marker>
          <c:val>
            <c:numRef>
              <c:f>'Loss Analysis 1995'!$R$5:$R$31</c:f>
              <c:numCache>
                <c:formatCode>0.00%</c:formatCode>
                <c:ptCount val="27"/>
                <c:pt idx="0">
                  <c:v>3.2955089554836156E-2</c:v>
                </c:pt>
                <c:pt idx="1">
                  <c:v>3.2955089554836156E-2</c:v>
                </c:pt>
                <c:pt idx="2">
                  <c:v>3.2955089554836156E-2</c:v>
                </c:pt>
                <c:pt idx="3">
                  <c:v>3.2955089554836156E-2</c:v>
                </c:pt>
                <c:pt idx="4">
                  <c:v>3.2955089554836156E-2</c:v>
                </c:pt>
                <c:pt idx="5">
                  <c:v>3.2955089554836156E-2</c:v>
                </c:pt>
                <c:pt idx="6">
                  <c:v>3.2955089554836156E-2</c:v>
                </c:pt>
                <c:pt idx="7">
                  <c:v>3.2955089554836156E-2</c:v>
                </c:pt>
                <c:pt idx="8">
                  <c:v>3.2955089554836156E-2</c:v>
                </c:pt>
                <c:pt idx="9">
                  <c:v>3.2955089554836156E-2</c:v>
                </c:pt>
                <c:pt idx="10">
                  <c:v>3.2955089554836156E-2</c:v>
                </c:pt>
                <c:pt idx="11">
                  <c:v>3.2955089554836156E-2</c:v>
                </c:pt>
                <c:pt idx="12">
                  <c:v>3.2955089554836156E-2</c:v>
                </c:pt>
                <c:pt idx="13">
                  <c:v>3.2955089554836156E-2</c:v>
                </c:pt>
                <c:pt idx="14">
                  <c:v>3.2955089554836156E-2</c:v>
                </c:pt>
                <c:pt idx="15">
                  <c:v>3.2955089554836156E-2</c:v>
                </c:pt>
                <c:pt idx="16">
                  <c:v>3.2955089554836156E-2</c:v>
                </c:pt>
                <c:pt idx="17">
                  <c:v>3.2955089554836156E-2</c:v>
                </c:pt>
                <c:pt idx="18">
                  <c:v>3.2955089554836156E-2</c:v>
                </c:pt>
                <c:pt idx="19">
                  <c:v>3.2955089554836156E-2</c:v>
                </c:pt>
                <c:pt idx="20">
                  <c:v>3.2955089554836156E-2</c:v>
                </c:pt>
                <c:pt idx="21">
                  <c:v>3.2955089554836156E-2</c:v>
                </c:pt>
                <c:pt idx="22">
                  <c:v>3.2955089554836156E-2</c:v>
                </c:pt>
                <c:pt idx="23">
                  <c:v>3.2955089554836156E-2</c:v>
                </c:pt>
                <c:pt idx="24">
                  <c:v>3.2955089554836156E-2</c:v>
                </c:pt>
                <c:pt idx="25">
                  <c:v>3.2955089554836156E-2</c:v>
                </c:pt>
                <c:pt idx="26">
                  <c:v>3.2955089554836156E-2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1A-4281-A216-4EAA11BB7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5639359"/>
        <c:axId val="1"/>
      </c:lineChart>
      <c:catAx>
        <c:axId val="12156393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5236955380577428"/>
              <c:y val="0.91054316683696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4.1312272329595161E-2"/>
              <c:y val="0.40415347318226441"/>
            </c:manualLayout>
          </c:layout>
          <c:overlay val="0"/>
          <c:spPr>
            <a:noFill/>
            <a:ln w="25400">
              <a:noFill/>
            </a:ln>
          </c:spPr>
        </c:title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5639359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System Losses (MW)</a:t>
            </a:r>
          </a:p>
        </c:rich>
      </c:tx>
      <c:layout>
        <c:manualLayout>
          <c:xMode val="edge"/>
          <c:yMode val="edge"/>
          <c:x val="0.24342122372318137"/>
          <c:y val="2.82130227733509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7369190332796"/>
          <c:y val="0.13322884012539185"/>
          <c:w val="0.81315841717106363"/>
          <c:h val="0.7131661442006269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1995'!$J$5:$J$31</c:f>
              <c:numCache>
                <c:formatCode>0.00</c:formatCode>
                <c:ptCount val="27"/>
                <c:pt idx="0">
                  <c:v>127.87605706766348</c:v>
                </c:pt>
                <c:pt idx="1">
                  <c:v>132.78506323493215</c:v>
                </c:pt>
                <c:pt idx="2">
                  <c:v>138.45303234565989</c:v>
                </c:pt>
                <c:pt idx="3">
                  <c:v>144.87843977193739</c:v>
                </c:pt>
                <c:pt idx="4">
                  <c:v>152.05976436596734</c:v>
                </c:pt>
                <c:pt idx="5">
                  <c:v>159.99548845155573</c:v>
                </c:pt>
                <c:pt idx="6">
                  <c:v>168.68409781562573</c:v>
                </c:pt>
                <c:pt idx="7">
                  <c:v>178.12408169975203</c:v>
                </c:pt>
                <c:pt idx="8">
                  <c:v>188.31393279171763</c:v>
                </c:pt>
                <c:pt idx="9">
                  <c:v>199.2521472170919</c:v>
                </c:pt>
                <c:pt idx="10">
                  <c:v>210.93722453082995</c:v>
                </c:pt>
                <c:pt idx="11">
                  <c:v>223.36766770889375</c:v>
                </c:pt>
                <c:pt idx="12">
                  <c:v>236.54198313989414</c:v>
                </c:pt>
                <c:pt idx="13">
                  <c:v>250.4586806167548</c:v>
                </c:pt>
                <c:pt idx="14">
                  <c:v>265.11627332839669</c:v>
                </c:pt>
                <c:pt idx="15">
                  <c:v>280.51327785144429</c:v>
                </c:pt>
                <c:pt idx="16">
                  <c:v>296.64821414195268</c:v>
                </c:pt>
                <c:pt idx="17">
                  <c:v>313.51960552715622</c:v>
                </c:pt>
                <c:pt idx="18">
                  <c:v>331.12597869723686</c:v>
                </c:pt>
                <c:pt idx="19">
                  <c:v>349.46586369711559</c:v>
                </c:pt>
                <c:pt idx="20">
                  <c:v>368.53779391826288</c:v>
                </c:pt>
                <c:pt idx="21">
                  <c:v>388.34030609053053</c:v>
                </c:pt>
                <c:pt idx="22">
                  <c:v>408.87194027400517</c:v>
                </c:pt>
                <c:pt idx="23">
                  <c:v>430.13123985088197</c:v>
                </c:pt>
                <c:pt idx="24">
                  <c:v>452.11675151735767</c:v>
                </c:pt>
                <c:pt idx="25">
                  <c:v>474.8270252755475</c:v>
                </c:pt>
                <c:pt idx="26">
                  <c:v>498.26061442541891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9B-49D8-86D7-8493A14105E5}"/>
            </c:ext>
          </c:extLst>
        </c:ser>
        <c:ser>
          <c:idx val="1"/>
          <c:order val="1"/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1995'!$K$5:$K$31</c:f>
              <c:numCache>
                <c:formatCode>0.00</c:formatCode>
                <c:ptCount val="27"/>
                <c:pt idx="0">
                  <c:v>79.092214931606776</c:v>
                </c:pt>
                <c:pt idx="1">
                  <c:v>92.274250753541239</c:v>
                </c:pt>
                <c:pt idx="2">
                  <c:v>105.4562865754757</c:v>
                </c:pt>
                <c:pt idx="3">
                  <c:v>118.63832239741016</c:v>
                </c:pt>
                <c:pt idx="4">
                  <c:v>131.82035821934463</c:v>
                </c:pt>
                <c:pt idx="5">
                  <c:v>145.0023940412791</c:v>
                </c:pt>
                <c:pt idx="6">
                  <c:v>158.18442986321355</c:v>
                </c:pt>
                <c:pt idx="7">
                  <c:v>171.36646568514803</c:v>
                </c:pt>
                <c:pt idx="8">
                  <c:v>184.54850150708248</c:v>
                </c:pt>
                <c:pt idx="9">
                  <c:v>197.73053732901695</c:v>
                </c:pt>
                <c:pt idx="10">
                  <c:v>210.9125731509514</c:v>
                </c:pt>
                <c:pt idx="11">
                  <c:v>224.09460897288588</c:v>
                </c:pt>
                <c:pt idx="12">
                  <c:v>237.27664479482033</c:v>
                </c:pt>
                <c:pt idx="13">
                  <c:v>250.4586806167548</c:v>
                </c:pt>
                <c:pt idx="14">
                  <c:v>263.64071643868925</c:v>
                </c:pt>
                <c:pt idx="15">
                  <c:v>276.82275226062376</c:v>
                </c:pt>
                <c:pt idx="16">
                  <c:v>290.00478808255821</c:v>
                </c:pt>
                <c:pt idx="17">
                  <c:v>303.18682390449266</c:v>
                </c:pt>
                <c:pt idx="18">
                  <c:v>316.3688597264271</c:v>
                </c:pt>
                <c:pt idx="19">
                  <c:v>329.55089554836161</c:v>
                </c:pt>
                <c:pt idx="20">
                  <c:v>342.73293137029606</c:v>
                </c:pt>
                <c:pt idx="21">
                  <c:v>355.91496719223051</c:v>
                </c:pt>
                <c:pt idx="22">
                  <c:v>369.09700301416495</c:v>
                </c:pt>
                <c:pt idx="23">
                  <c:v>382.27903883609946</c:v>
                </c:pt>
                <c:pt idx="24">
                  <c:v>395.46107465803391</c:v>
                </c:pt>
                <c:pt idx="25">
                  <c:v>408.64311047996836</c:v>
                </c:pt>
                <c:pt idx="26">
                  <c:v>421.82514630190281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9B-49D8-86D7-8493A1410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5638879"/>
        <c:axId val="1"/>
      </c:lineChart>
      <c:catAx>
        <c:axId val="12156388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5394763727928502"/>
              <c:y val="0.915360617347981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(MW)</a:t>
                </a:r>
              </a:p>
            </c:rich>
          </c:tx>
          <c:layout>
            <c:manualLayout>
              <c:xMode val="edge"/>
              <c:yMode val="edge"/>
              <c:x val="3.1579034272092132E-2"/>
              <c:y val="0.3855798638942587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5638879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2023 CenterPoint Energy Distribution Loss Factor (%)
For Secondary Distribution Customers "D"</a:t>
            </a:r>
          </a:p>
        </c:rich>
      </c:tx>
      <c:layout>
        <c:manualLayout>
          <c:xMode val="edge"/>
          <c:yMode val="edge"/>
          <c:x val="0.25849627745948101"/>
          <c:y val="2.649953509174581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628218331616883E-2"/>
          <c:y val="0.13110199167264819"/>
          <c:w val="0.84552008238928944"/>
          <c:h val="0.7642967174107574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3595.6678700361012</c:v>
                </c:pt>
                <c:pt idx="1">
                  <c:v>4194.9458483754515</c:v>
                </c:pt>
                <c:pt idx="2">
                  <c:v>4794.2238267148014</c:v>
                </c:pt>
                <c:pt idx="3">
                  <c:v>5393.5018050541512</c:v>
                </c:pt>
                <c:pt idx="4">
                  <c:v>5992.7797833935019</c:v>
                </c:pt>
                <c:pt idx="5">
                  <c:v>6592.0577617328518</c:v>
                </c:pt>
                <c:pt idx="6">
                  <c:v>7191.3357400722025</c:v>
                </c:pt>
                <c:pt idx="7">
                  <c:v>7790.6137184115523</c:v>
                </c:pt>
                <c:pt idx="8">
                  <c:v>8389.8916967509031</c:v>
                </c:pt>
                <c:pt idx="9">
                  <c:v>8989.169675090252</c:v>
                </c:pt>
                <c:pt idx="10">
                  <c:v>9588.4476534296027</c:v>
                </c:pt>
                <c:pt idx="11">
                  <c:v>10187.725631768953</c:v>
                </c:pt>
                <c:pt idx="12">
                  <c:v>10787.003610108302</c:v>
                </c:pt>
                <c:pt idx="13">
                  <c:v>11386.281588447653</c:v>
                </c:pt>
                <c:pt idx="14">
                  <c:v>11985.559566787004</c:v>
                </c:pt>
                <c:pt idx="15">
                  <c:v>12584.837545126355</c:v>
                </c:pt>
                <c:pt idx="16">
                  <c:v>13184.115523465704</c:v>
                </c:pt>
                <c:pt idx="17">
                  <c:v>13783.393501805054</c:v>
                </c:pt>
                <c:pt idx="18">
                  <c:v>14382.671480144405</c:v>
                </c:pt>
                <c:pt idx="19">
                  <c:v>14981.949458483754</c:v>
                </c:pt>
                <c:pt idx="20">
                  <c:v>15581.227436823105</c:v>
                </c:pt>
                <c:pt idx="21">
                  <c:v>16180.505415162455</c:v>
                </c:pt>
                <c:pt idx="22">
                  <c:v>16779.783393501806</c:v>
                </c:pt>
                <c:pt idx="23">
                  <c:v>17379.061371841155</c:v>
                </c:pt>
                <c:pt idx="24">
                  <c:v>17978.339350180504</c:v>
                </c:pt>
                <c:pt idx="25">
                  <c:v>18577.617328519857</c:v>
                </c:pt>
                <c:pt idx="26">
                  <c:v>19176.895306859205</c:v>
                </c:pt>
                <c:pt idx="27">
                  <c:v>19776.173285198554</c:v>
                </c:pt>
                <c:pt idx="28">
                  <c:v>20375.451263537907</c:v>
                </c:pt>
                <c:pt idx="29">
                  <c:v>20974.729241877256</c:v>
                </c:pt>
                <c:pt idx="30">
                  <c:v>21574.007220216605</c:v>
                </c:pt>
                <c:pt idx="31">
                  <c:v>22173.285198555957</c:v>
                </c:pt>
                <c:pt idx="32">
                  <c:v>22772.563176895306</c:v>
                </c:pt>
                <c:pt idx="33">
                  <c:v>23371.841155234659</c:v>
                </c:pt>
                <c:pt idx="34">
                  <c:v>23971.119133574008</c:v>
                </c:pt>
                <c:pt idx="35">
                  <c:v>25019.855595667868</c:v>
                </c:pt>
                <c:pt idx="36">
                  <c:v>25619.133574007221</c:v>
                </c:pt>
                <c:pt idx="37">
                  <c:v>26218.41155234657</c:v>
                </c:pt>
                <c:pt idx="38">
                  <c:v>26817.689530685922</c:v>
                </c:pt>
                <c:pt idx="39">
                  <c:v>27416.967509025271</c:v>
                </c:pt>
                <c:pt idx="40">
                  <c:v>28016.24548736462</c:v>
                </c:pt>
                <c:pt idx="41">
                  <c:v>28615.523465703973</c:v>
                </c:pt>
              </c:numCache>
            </c:numRef>
          </c:cat>
          <c:val>
            <c:numRef>
              <c:f>'2) Loss Analysis'!$Q$11:$Q$52</c:f>
              <c:numCache>
                <c:formatCode>0.000%</c:formatCode>
                <c:ptCount val="42"/>
                <c:pt idx="0">
                  <c:v>8.3528930393626383E-2</c:v>
                </c:pt>
                <c:pt idx="1">
                  <c:v>7.3053783911116846E-2</c:v>
                </c:pt>
                <c:pt idx="2">
                  <c:v>6.5396211458394637E-2</c:v>
                </c:pt>
                <c:pt idx="3">
                  <c:v>5.9616763458785978E-2</c:v>
                </c:pt>
                <c:pt idx="4">
                  <c:v>5.5151770583931357E-2</c:v>
                </c:pt>
                <c:pt idx="5">
                  <c:v>5.1642534549328128E-2</c:v>
                </c:pt>
                <c:pt idx="6">
                  <c:v>4.8849923512103127E-2</c:v>
                </c:pt>
                <c:pt idx="7">
                  <c:v>4.6608384977506578E-2</c:v>
                </c:pt>
                <c:pt idx="8">
                  <c:v>4.4799667459766802E-2</c:v>
                </c:pt>
                <c:pt idx="9">
                  <c:v>4.3337053478604004E-2</c:v>
                </c:pt>
                <c:pt idx="10">
                  <c:v>4.2155505182052126E-2</c:v>
                </c:pt>
                <c:pt idx="11">
                  <c:v>4.1205287984756311E-2</c:v>
                </c:pt>
                <c:pt idx="12">
                  <c:v>4.0447719660171855E-2</c:v>
                </c:pt>
                <c:pt idx="13">
                  <c:v>3.9852261824701141E-2</c:v>
                </c:pt>
                <c:pt idx="14">
                  <c:v>3.9642310063546647E-2</c:v>
                </c:pt>
                <c:pt idx="15">
                  <c:v>3.9550261411910939E-2</c:v>
                </c:pt>
                <c:pt idx="16">
                  <c:v>3.955993497373575E-2</c:v>
                </c:pt>
                <c:pt idx="17">
                  <c:v>3.9657964099258099E-2</c:v>
                </c:pt>
                <c:pt idx="18">
                  <c:v>3.9833210083395548E-2</c:v>
                </c:pt>
                <c:pt idx="19">
                  <c:v>4.0076316576519402E-2</c:v>
                </c:pt>
                <c:pt idx="20">
                  <c:v>4.0379366823511578E-2</c:v>
                </c:pt>
                <c:pt idx="21">
                  <c:v>4.0735617071920478E-2</c:v>
                </c:pt>
                <c:pt idx="22">
                  <c:v>4.1139287106941071E-2</c:v>
                </c:pt>
                <c:pt idx="23">
                  <c:v>4.1585394123985729E-2</c:v>
                </c:pt>
                <c:pt idx="24">
                  <c:v>4.2069619826741428E-2</c:v>
                </c:pt>
                <c:pt idx="25">
                  <c:v>4.2588203248183965E-2</c:v>
                </c:pt>
                <c:pt idx="26">
                  <c:v>4.3137853667652472E-2</c:v>
                </c:pt>
                <c:pt idx="27">
                  <c:v>4.3715679361183583E-2</c:v>
                </c:pt>
                <c:pt idx="28">
                  <c:v>4.4319128925316247E-2</c:v>
                </c:pt>
                <c:pt idx="29">
                  <c:v>4.4945942659673492E-2</c:v>
                </c:pt>
                <c:pt idx="30">
                  <c:v>4.5594112052447372E-2</c:v>
                </c:pt>
                <c:pt idx="31">
                  <c:v>4.6261845835805768E-2</c:v>
                </c:pt>
                <c:pt idx="32">
                  <c:v>4.6947541400972105E-2</c:v>
                </c:pt>
                <c:pt idx="33">
                  <c:v>4.7649760610985512E-2</c:v>
                </c:pt>
                <c:pt idx="34">
                  <c:v>4.8367209241547131E-2</c:v>
                </c:pt>
                <c:pt idx="35">
                  <c:v>4.9470071018552574E-2</c:v>
                </c:pt>
                <c:pt idx="36">
                  <c:v>5.0223706241255037E-2</c:v>
                </c:pt>
                <c:pt idx="37">
                  <c:v>5.0988727459218508E-2</c:v>
                </c:pt>
                <c:pt idx="38">
                  <c:v>5.1764322665387566E-2</c:v>
                </c:pt>
                <c:pt idx="39">
                  <c:v>5.2549750933504447E-2</c:v>
                </c:pt>
                <c:pt idx="40">
                  <c:v>5.3344334815735535E-2</c:v>
                </c:pt>
                <c:pt idx="41">
                  <c:v>5.4147453695570079E-2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9-4053-A14B-19053AE454E2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3595.6678700361012</c:v>
                </c:pt>
                <c:pt idx="1">
                  <c:v>4194.9458483754515</c:v>
                </c:pt>
                <c:pt idx="2">
                  <c:v>4794.2238267148014</c:v>
                </c:pt>
                <c:pt idx="3">
                  <c:v>5393.5018050541512</c:v>
                </c:pt>
                <c:pt idx="4">
                  <c:v>5992.7797833935019</c:v>
                </c:pt>
                <c:pt idx="5">
                  <c:v>6592.0577617328518</c:v>
                </c:pt>
                <c:pt idx="6">
                  <c:v>7191.3357400722025</c:v>
                </c:pt>
                <c:pt idx="7">
                  <c:v>7790.6137184115523</c:v>
                </c:pt>
                <c:pt idx="8">
                  <c:v>8389.8916967509031</c:v>
                </c:pt>
                <c:pt idx="9">
                  <c:v>8989.169675090252</c:v>
                </c:pt>
                <c:pt idx="10">
                  <c:v>9588.4476534296027</c:v>
                </c:pt>
                <c:pt idx="11">
                  <c:v>10187.725631768953</c:v>
                </c:pt>
                <c:pt idx="12">
                  <c:v>10787.003610108302</c:v>
                </c:pt>
                <c:pt idx="13">
                  <c:v>11386.281588447653</c:v>
                </c:pt>
                <c:pt idx="14">
                  <c:v>11985.559566787004</c:v>
                </c:pt>
                <c:pt idx="15">
                  <c:v>12584.837545126355</c:v>
                </c:pt>
                <c:pt idx="16">
                  <c:v>13184.115523465704</c:v>
                </c:pt>
                <c:pt idx="17">
                  <c:v>13783.393501805054</c:v>
                </c:pt>
                <c:pt idx="18">
                  <c:v>14382.671480144405</c:v>
                </c:pt>
                <c:pt idx="19">
                  <c:v>14981.949458483754</c:v>
                </c:pt>
                <c:pt idx="20">
                  <c:v>15581.227436823105</c:v>
                </c:pt>
                <c:pt idx="21">
                  <c:v>16180.505415162455</c:v>
                </c:pt>
                <c:pt idx="22">
                  <c:v>16779.783393501806</c:v>
                </c:pt>
                <c:pt idx="23">
                  <c:v>17379.061371841155</c:v>
                </c:pt>
                <c:pt idx="24">
                  <c:v>17978.339350180504</c:v>
                </c:pt>
                <c:pt idx="25">
                  <c:v>18577.617328519857</c:v>
                </c:pt>
                <c:pt idx="26">
                  <c:v>19176.895306859205</c:v>
                </c:pt>
                <c:pt idx="27">
                  <c:v>19776.173285198554</c:v>
                </c:pt>
                <c:pt idx="28">
                  <c:v>20375.451263537907</c:v>
                </c:pt>
                <c:pt idx="29">
                  <c:v>20974.729241877256</c:v>
                </c:pt>
                <c:pt idx="30">
                  <c:v>21574.007220216605</c:v>
                </c:pt>
                <c:pt idx="31">
                  <c:v>22173.285198555957</c:v>
                </c:pt>
                <c:pt idx="32">
                  <c:v>22772.563176895306</c:v>
                </c:pt>
                <c:pt idx="33">
                  <c:v>23371.841155234659</c:v>
                </c:pt>
                <c:pt idx="34">
                  <c:v>23971.119133574008</c:v>
                </c:pt>
                <c:pt idx="35">
                  <c:v>25019.855595667868</c:v>
                </c:pt>
                <c:pt idx="36">
                  <c:v>25619.133574007221</c:v>
                </c:pt>
                <c:pt idx="37">
                  <c:v>26218.41155234657</c:v>
                </c:pt>
                <c:pt idx="38">
                  <c:v>26817.689530685922</c:v>
                </c:pt>
                <c:pt idx="39">
                  <c:v>27416.967509025271</c:v>
                </c:pt>
                <c:pt idx="40">
                  <c:v>28016.24548736462</c:v>
                </c:pt>
                <c:pt idx="41">
                  <c:v>28615.523465703973</c:v>
                </c:pt>
              </c:numCache>
            </c:numRef>
          </c:cat>
          <c:val>
            <c:numRef>
              <c:f>'2) Loss Analysis'!$R$11:$R$52</c:f>
              <c:numCache>
                <c:formatCode>0.000%</c:formatCode>
                <c:ptCount val="42"/>
                <c:pt idx="0">
                  <c:v>8.2749790613718399E-2</c:v>
                </c:pt>
                <c:pt idx="1">
                  <c:v>7.2016470001719096E-2</c:v>
                </c:pt>
                <c:pt idx="2">
                  <c:v>6.4231220818291218E-2</c:v>
                </c:pt>
                <c:pt idx="3">
                  <c:v>5.8411352587244288E-2</c:v>
                </c:pt>
                <c:pt idx="4">
                  <c:v>5.3967251022864017E-2</c:v>
                </c:pt>
                <c:pt idx="5">
                  <c:v>5.0523707034241333E-2</c:v>
                </c:pt>
                <c:pt idx="6">
                  <c:v>4.7830581227436823E-2</c:v>
                </c:pt>
                <c:pt idx="7">
                  <c:v>4.5714700175877067E-2</c:v>
                </c:pt>
                <c:pt idx="8">
                  <c:v>4.4052368574866767E-2</c:v>
                </c:pt>
                <c:pt idx="9">
                  <c:v>4.2752876534296033E-2</c:v>
                </c:pt>
                <c:pt idx="10">
                  <c:v>4.174819163658243E-2</c:v>
                </c:pt>
                <c:pt idx="11">
                  <c:v>4.0986289091810013E-2</c:v>
                </c:pt>
                <c:pt idx="12">
                  <c:v>4.042670517448857E-2</c:v>
                </c:pt>
                <c:pt idx="13">
                  <c:v>4.0037494838178478E-2</c:v>
                </c:pt>
                <c:pt idx="14">
                  <c:v>3.9793102045728036E-2</c:v>
                </c:pt>
                <c:pt idx="15">
                  <c:v>3.9672838576585864E-2</c:v>
                </c:pt>
                <c:pt idx="16">
                  <c:v>3.96597777048463E-2</c:v>
                </c:pt>
                <c:pt idx="17">
                  <c:v>3.9739936483022029E-2</c:v>
                </c:pt>
                <c:pt idx="18">
                  <c:v>3.9901662454873643E-2</c:v>
                </c:pt>
                <c:pt idx="19">
                  <c:v>4.0135167557160047E-2</c:v>
                </c:pt>
                <c:pt idx="20">
                  <c:v>4.0432169582523367E-2</c:v>
                </c:pt>
                <c:pt idx="21">
                  <c:v>4.0785613317288402E-2</c:v>
                </c:pt>
                <c:pt idx="22">
                  <c:v>4.1189451435447826E-2</c:v>
                </c:pt>
                <c:pt idx="23">
                  <c:v>4.1638470724926345E-2</c:v>
                </c:pt>
                <c:pt idx="24">
                  <c:v>4.212815306859205E-2</c:v>
                </c:pt>
                <c:pt idx="25">
                  <c:v>4.2654563332168785E-2</c:v>
                </c:pt>
                <c:pt idx="26">
                  <c:v>4.3214258273164857E-2</c:v>
                </c:pt>
                <c:pt idx="27">
                  <c:v>4.3804212011814891E-2</c:v>
                </c:pt>
                <c:pt idx="28">
                  <c:v>4.4421754654208251E-2</c:v>
                </c:pt>
                <c:pt idx="29">
                  <c:v>4.5064521437166924E-2</c:v>
                </c:pt>
                <c:pt idx="30">
                  <c:v>4.5730410348977131E-2</c:v>
                </c:pt>
                <c:pt idx="31">
                  <c:v>4.6417546622434705E-2</c:v>
                </c:pt>
                <c:pt idx="32">
                  <c:v>4.7124252834251687E-2</c:v>
                </c:pt>
                <c:pt idx="33">
                  <c:v>4.7849023604554286E-2</c:v>
                </c:pt>
                <c:pt idx="34">
                  <c:v>4.8590504091456072E-2</c:v>
                </c:pt>
                <c:pt idx="35">
                  <c:v>4.9924691224050084E-2</c:v>
                </c:pt>
                <c:pt idx="36">
                  <c:v>5.0706161631515603E-2</c:v>
                </c:pt>
                <c:pt idx="37">
                  <c:v>5.1500317510744367E-2</c:v>
                </c:pt>
                <c:pt idx="38">
                  <c:v>5.2306308439048321E-2</c:v>
                </c:pt>
                <c:pt idx="39">
                  <c:v>5.3123358347635673E-2</c:v>
                </c:pt>
                <c:pt idx="40">
                  <c:v>5.3950757569322438E-2</c:v>
                </c:pt>
                <c:pt idx="41">
                  <c:v>5.4787855885484592E-2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A9-4053-A14B-19053AE45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690831"/>
        <c:axId val="1"/>
      </c:lineChart>
      <c:catAx>
        <c:axId val="11526908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ERCOT Load MWH's 15 Mins - Coincident</a:t>
                </a:r>
              </a:p>
            </c:rich>
          </c:tx>
          <c:layout>
            <c:manualLayout>
              <c:xMode val="edge"/>
              <c:yMode val="edge"/>
              <c:x val="0.37693107427719391"/>
              <c:y val="0.945608009761111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7.0000000000000007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1.5448185708303971E-2"/>
              <c:y val="0.43793635661013225"/>
            </c:manualLayout>
          </c:layout>
          <c:overlay val="0"/>
          <c:spPr>
            <a:noFill/>
            <a:ln w="25400">
              <a:noFill/>
            </a:ln>
          </c:spPr>
        </c:title>
        <c:numFmt formatCode="0.0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690831"/>
        <c:crosses val="autoZero"/>
        <c:crossBetween val="between"/>
        <c:majorUnit val="0.01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25" l="0.25" r="0.25" t="0.25" header="0" footer="0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2023 CenterPoint Energy Distribution Loss Factor (%)
For Primary Distribution Customers "E"</a:t>
            </a:r>
          </a:p>
        </c:rich>
      </c:tx>
      <c:layout>
        <c:manualLayout>
          <c:xMode val="edge"/>
          <c:yMode val="edge"/>
          <c:x val="0.26255187489318937"/>
          <c:y val="2.84908521332194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585177871249014E-2"/>
          <c:y val="0.14385474860335196"/>
          <c:w val="0.85397868475685734"/>
          <c:h val="0.7513966480446927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3595.6678700361012</c:v>
                </c:pt>
                <c:pt idx="1">
                  <c:v>4194.9458483754515</c:v>
                </c:pt>
                <c:pt idx="2">
                  <c:v>4794.2238267148014</c:v>
                </c:pt>
                <c:pt idx="3">
                  <c:v>5393.5018050541512</c:v>
                </c:pt>
                <c:pt idx="4">
                  <c:v>5992.7797833935019</c:v>
                </c:pt>
                <c:pt idx="5">
                  <c:v>6592.0577617328518</c:v>
                </c:pt>
                <c:pt idx="6">
                  <c:v>7191.3357400722025</c:v>
                </c:pt>
                <c:pt idx="7">
                  <c:v>7790.6137184115523</c:v>
                </c:pt>
                <c:pt idx="8">
                  <c:v>8389.8916967509031</c:v>
                </c:pt>
                <c:pt idx="9">
                  <c:v>8989.169675090252</c:v>
                </c:pt>
                <c:pt idx="10">
                  <c:v>9588.4476534296027</c:v>
                </c:pt>
                <c:pt idx="11">
                  <c:v>10187.725631768953</c:v>
                </c:pt>
                <c:pt idx="12">
                  <c:v>10787.003610108302</c:v>
                </c:pt>
                <c:pt idx="13">
                  <c:v>11386.281588447653</c:v>
                </c:pt>
                <c:pt idx="14">
                  <c:v>11985.559566787004</c:v>
                </c:pt>
                <c:pt idx="15">
                  <c:v>12584.837545126355</c:v>
                </c:pt>
                <c:pt idx="16">
                  <c:v>13184.115523465704</c:v>
                </c:pt>
                <c:pt idx="17">
                  <c:v>13783.393501805054</c:v>
                </c:pt>
                <c:pt idx="18">
                  <c:v>14382.671480144405</c:v>
                </c:pt>
                <c:pt idx="19">
                  <c:v>14981.949458483754</c:v>
                </c:pt>
                <c:pt idx="20">
                  <c:v>15581.227436823105</c:v>
                </c:pt>
                <c:pt idx="21">
                  <c:v>16180.505415162455</c:v>
                </c:pt>
                <c:pt idx="22">
                  <c:v>16779.783393501806</c:v>
                </c:pt>
                <c:pt idx="23">
                  <c:v>17379.061371841155</c:v>
                </c:pt>
                <c:pt idx="24">
                  <c:v>17978.339350180504</c:v>
                </c:pt>
                <c:pt idx="25">
                  <c:v>18577.617328519857</c:v>
                </c:pt>
                <c:pt idx="26">
                  <c:v>19176.895306859205</c:v>
                </c:pt>
                <c:pt idx="27">
                  <c:v>19776.173285198554</c:v>
                </c:pt>
                <c:pt idx="28">
                  <c:v>20375.451263537907</c:v>
                </c:pt>
                <c:pt idx="29">
                  <c:v>20974.729241877256</c:v>
                </c:pt>
                <c:pt idx="30">
                  <c:v>21574.007220216605</c:v>
                </c:pt>
                <c:pt idx="31">
                  <c:v>22173.285198555957</c:v>
                </c:pt>
                <c:pt idx="32">
                  <c:v>22772.563176895306</c:v>
                </c:pt>
                <c:pt idx="33">
                  <c:v>23371.841155234659</c:v>
                </c:pt>
                <c:pt idx="34">
                  <c:v>23971.119133574008</c:v>
                </c:pt>
                <c:pt idx="35">
                  <c:v>25019.855595667868</c:v>
                </c:pt>
                <c:pt idx="36">
                  <c:v>25619.133574007221</c:v>
                </c:pt>
                <c:pt idx="37">
                  <c:v>26218.41155234657</c:v>
                </c:pt>
                <c:pt idx="38">
                  <c:v>26817.689530685922</c:v>
                </c:pt>
                <c:pt idx="39">
                  <c:v>27416.967509025271</c:v>
                </c:pt>
                <c:pt idx="40">
                  <c:v>28016.24548736462</c:v>
                </c:pt>
                <c:pt idx="41">
                  <c:v>28615.523465703973</c:v>
                </c:pt>
              </c:numCache>
            </c:numRef>
          </c:cat>
          <c:val>
            <c:numRef>
              <c:f>'2) Loss Analysis'!$U$11:$U$44</c:f>
              <c:numCache>
                <c:formatCode>0.000%</c:formatCode>
                <c:ptCount val="34"/>
                <c:pt idx="0">
                  <c:v>1.0899155524215942E-2</c:v>
                </c:pt>
                <c:pt idx="1">
                  <c:v>1.0293281531418192E-2</c:v>
                </c:pt>
                <c:pt idx="2">
                  <c:v>9.9675865494781423E-3</c:v>
                </c:pt>
                <c:pt idx="3">
                  <c:v>9.828641003958416E-3</c:v>
                </c:pt>
                <c:pt idx="4">
                  <c:v>9.8203871541653592E-3</c:v>
                </c:pt>
                <c:pt idx="5">
                  <c:v>9.907151895992802E-3</c:v>
                </c:pt>
                <c:pt idx="6">
                  <c:v>1.0065153163343936E-2</c:v>
                </c:pt>
                <c:pt idx="7">
                  <c:v>1.027792645197387E-2</c:v>
                </c:pt>
                <c:pt idx="8">
                  <c:v>1.0533711404542522E-2</c:v>
                </c:pt>
                <c:pt idx="9">
                  <c:v>1.0823883761646337E-2</c:v>
                </c:pt>
                <c:pt idx="10">
                  <c:v>1.114197533121314E-2</c:v>
                </c:pt>
                <c:pt idx="11">
                  <c:v>1.1483039851051712E-2</c:v>
                </c:pt>
                <c:pt idx="12">
                  <c:v>1.1843230230551536E-2</c:v>
                </c:pt>
                <c:pt idx="13">
                  <c:v>1.221950929500366E-2</c:v>
                </c:pt>
                <c:pt idx="14">
                  <c:v>1.2868142958799227E-2</c:v>
                </c:pt>
                <c:pt idx="15">
                  <c:v>1.352846864106814E-2</c:v>
                </c:pt>
                <c:pt idx="16">
                  <c:v>1.4198877038317542E-2</c:v>
                </c:pt>
                <c:pt idx="17">
                  <c:v>1.4878038727648429E-2</c:v>
                </c:pt>
                <c:pt idx="18">
                  <c:v>1.5564845858298617E-2</c:v>
                </c:pt>
                <c:pt idx="19">
                  <c:v>1.6258367837215387E-2</c:v>
                </c:pt>
                <c:pt idx="20">
                  <c:v>1.6957817241034422E-2</c:v>
                </c:pt>
                <c:pt idx="21">
                  <c:v>1.7662523303174554E-2</c:v>
                </c:pt>
                <c:pt idx="22">
                  <c:v>1.8371911082269342E-2</c:v>
                </c:pt>
                <c:pt idx="23">
                  <c:v>1.908548494057833E-2</c:v>
                </c:pt>
                <c:pt idx="24">
                  <c:v>1.9802815326716044E-2</c:v>
                </c:pt>
                <c:pt idx="25">
                  <c:v>2.0523528116562471E-2</c:v>
                </c:pt>
                <c:pt idx="26">
                  <c:v>2.1247295952752855E-2</c:v>
                </c:pt>
                <c:pt idx="27">
                  <c:v>2.1973831158805669E-2</c:v>
                </c:pt>
                <c:pt idx="28">
                  <c:v>2.2702879903698608E-2</c:v>
                </c:pt>
                <c:pt idx="29">
                  <c:v>2.3434217366803005E-2</c:v>
                </c:pt>
                <c:pt idx="30">
                  <c:v>2.4167643708662468E-2</c:v>
                </c:pt>
                <c:pt idx="31">
                  <c:v>2.4902980695158814E-2</c:v>
                </c:pt>
                <c:pt idx="32">
                  <c:v>2.5640068854704379E-2</c:v>
                </c:pt>
                <c:pt idx="33">
                  <c:v>2.6378765072789443E-2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DD-4498-AE8C-5B78DA0A7B83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'2) Loss Analysis'!$A$11:$A$52</c:f>
              <c:numCache>
                <c:formatCode>0</c:formatCode>
                <c:ptCount val="42"/>
                <c:pt idx="0">
                  <c:v>3595.6678700361012</c:v>
                </c:pt>
                <c:pt idx="1">
                  <c:v>4194.9458483754515</c:v>
                </c:pt>
                <c:pt idx="2">
                  <c:v>4794.2238267148014</c:v>
                </c:pt>
                <c:pt idx="3">
                  <c:v>5393.5018050541512</c:v>
                </c:pt>
                <c:pt idx="4">
                  <c:v>5992.7797833935019</c:v>
                </c:pt>
                <c:pt idx="5">
                  <c:v>6592.0577617328518</c:v>
                </c:pt>
                <c:pt idx="6">
                  <c:v>7191.3357400722025</c:v>
                </c:pt>
                <c:pt idx="7">
                  <c:v>7790.6137184115523</c:v>
                </c:pt>
                <c:pt idx="8">
                  <c:v>8389.8916967509031</c:v>
                </c:pt>
                <c:pt idx="9">
                  <c:v>8989.169675090252</c:v>
                </c:pt>
                <c:pt idx="10">
                  <c:v>9588.4476534296027</c:v>
                </c:pt>
                <c:pt idx="11">
                  <c:v>10187.725631768953</c:v>
                </c:pt>
                <c:pt idx="12">
                  <c:v>10787.003610108302</c:v>
                </c:pt>
                <c:pt idx="13">
                  <c:v>11386.281588447653</c:v>
                </c:pt>
                <c:pt idx="14">
                  <c:v>11985.559566787004</c:v>
                </c:pt>
                <c:pt idx="15">
                  <c:v>12584.837545126355</c:v>
                </c:pt>
                <c:pt idx="16">
                  <c:v>13184.115523465704</c:v>
                </c:pt>
                <c:pt idx="17">
                  <c:v>13783.393501805054</c:v>
                </c:pt>
                <c:pt idx="18">
                  <c:v>14382.671480144405</c:v>
                </c:pt>
                <c:pt idx="19">
                  <c:v>14981.949458483754</c:v>
                </c:pt>
                <c:pt idx="20">
                  <c:v>15581.227436823105</c:v>
                </c:pt>
                <c:pt idx="21">
                  <c:v>16180.505415162455</c:v>
                </c:pt>
                <c:pt idx="22">
                  <c:v>16779.783393501806</c:v>
                </c:pt>
                <c:pt idx="23">
                  <c:v>17379.061371841155</c:v>
                </c:pt>
                <c:pt idx="24">
                  <c:v>17978.339350180504</c:v>
                </c:pt>
                <c:pt idx="25">
                  <c:v>18577.617328519857</c:v>
                </c:pt>
                <c:pt idx="26">
                  <c:v>19176.895306859205</c:v>
                </c:pt>
                <c:pt idx="27">
                  <c:v>19776.173285198554</c:v>
                </c:pt>
                <c:pt idx="28">
                  <c:v>20375.451263537907</c:v>
                </c:pt>
                <c:pt idx="29">
                  <c:v>20974.729241877256</c:v>
                </c:pt>
                <c:pt idx="30">
                  <c:v>21574.007220216605</c:v>
                </c:pt>
                <c:pt idx="31">
                  <c:v>22173.285198555957</c:v>
                </c:pt>
                <c:pt idx="32">
                  <c:v>22772.563176895306</c:v>
                </c:pt>
                <c:pt idx="33">
                  <c:v>23371.841155234659</c:v>
                </c:pt>
                <c:pt idx="34">
                  <c:v>23971.119133574008</c:v>
                </c:pt>
                <c:pt idx="35">
                  <c:v>25019.855595667868</c:v>
                </c:pt>
                <c:pt idx="36">
                  <c:v>25619.133574007221</c:v>
                </c:pt>
                <c:pt idx="37">
                  <c:v>26218.41155234657</c:v>
                </c:pt>
                <c:pt idx="38">
                  <c:v>26817.689530685922</c:v>
                </c:pt>
                <c:pt idx="39">
                  <c:v>27416.967509025271</c:v>
                </c:pt>
                <c:pt idx="40">
                  <c:v>28016.24548736462</c:v>
                </c:pt>
                <c:pt idx="41">
                  <c:v>28615.523465703973</c:v>
                </c:pt>
              </c:numCache>
            </c:numRef>
          </c:cat>
          <c:val>
            <c:numRef>
              <c:f>'2) Loss Analysis'!$S$11:$S$44</c:f>
              <c:numCache>
                <c:formatCode>0.000%</c:formatCode>
                <c:ptCount val="34"/>
                <c:pt idx="0">
                  <c:v>7.7732569945848373E-3</c:v>
                </c:pt>
                <c:pt idx="1">
                  <c:v>7.3734501246346907E-3</c:v>
                </c:pt>
                <c:pt idx="2">
                  <c:v>7.2673374511131161E-3</c:v>
                </c:pt>
                <c:pt idx="3">
                  <c:v>7.3570209085439221E-3</c:v>
                </c:pt>
                <c:pt idx="4">
                  <c:v>7.583761657641395E-3</c:v>
                </c:pt>
                <c:pt idx="5">
                  <c:v>7.9101804370418968E-3</c:v>
                </c:pt>
                <c:pt idx="6">
                  <c:v>8.3113577391696752E-3</c:v>
                </c:pt>
                <c:pt idx="7">
                  <c:v>8.7700415972415055E-3</c:v>
                </c:pt>
                <c:pt idx="8">
                  <c:v>9.2739091778408118E-3</c:v>
                </c:pt>
                <c:pt idx="9">
                  <c:v>9.8139237364620931E-3</c:v>
                </c:pt>
                <c:pt idx="10">
                  <c:v>1.0383307714726233E-2</c:v>
                </c:pt>
                <c:pt idx="11">
                  <c:v>1.0976878273872727E-2</c:v>
                </c:pt>
                <c:pt idx="12">
                  <c:v>1.1590604317087845E-2</c:v>
                </c:pt>
                <c:pt idx="13">
                  <c:v>1.2221303399518652E-2</c:v>
                </c:pt>
                <c:pt idx="14">
                  <c:v>1.2866429565282791E-2</c:v>
                </c:pt>
                <c:pt idx="15">
                  <c:v>1.3523921802475504E-2</c:v>
                </c:pt>
                <c:pt idx="16">
                  <c:v>1.4192093828629248E-2</c:v>
                </c:pt>
                <c:pt idx="17">
                  <c:v>1.48695526277926E-2</c:v>
                </c:pt>
                <c:pt idx="18">
                  <c:v>1.5555137353339351E-2</c:v>
                </c:pt>
                <c:pt idx="19">
                  <c:v>1.6247872894103486E-2</c:v>
                </c:pt>
                <c:pt idx="20">
                  <c:v>1.6946934156021474E-2</c:v>
                </c:pt>
                <c:pt idx="21">
                  <c:v>1.7651618281187321E-2</c:v>
                </c:pt>
                <c:pt idx="22">
                  <c:v>1.836132281996734E-2</c:v>
                </c:pt>
                <c:pt idx="23">
                  <c:v>1.9075528419229014E-2</c:v>
                </c:pt>
                <c:pt idx="24">
                  <c:v>1.9793784972924184E-2</c:v>
                </c:pt>
                <c:pt idx="25">
                  <c:v>2.0515700453204458E-2</c:v>
                </c:pt>
                <c:pt idx="26">
                  <c:v>2.1240931835702467E-2</c:v>
                </c:pt>
                <c:pt idx="27">
                  <c:v>2.1969177674762058E-2</c:v>
                </c:pt>
                <c:pt idx="28">
                  <c:v>2.2700171988921925E-2</c:v>
                </c:pt>
                <c:pt idx="29">
                  <c:v>2.3433679194602028E-2</c:v>
                </c:pt>
                <c:pt idx="30">
                  <c:v>2.416948988417569E-2</c:v>
                </c:pt>
                <c:pt idx="31">
                  <c:v>2.4907417288678572E-2</c:v>
                </c:pt>
                <c:pt idx="32">
                  <c:v>2.5647294299037303E-2</c:v>
                </c:pt>
                <c:pt idx="33">
                  <c:v>2.6388970945570678E-2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DD-4498-AE8C-5B78DA0A7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689871"/>
        <c:axId val="1"/>
      </c:lineChart>
      <c:catAx>
        <c:axId val="11526898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ERCOT Load MWH's 15 Mins - Coincident</a:t>
                </a:r>
              </a:p>
            </c:rich>
          </c:tx>
          <c:layout>
            <c:manualLayout>
              <c:xMode val="edge"/>
              <c:yMode val="edge"/>
              <c:x val="0.36092338566629983"/>
              <c:y val="0.948484940121037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1.6112781820639768E-2"/>
              <c:y val="0.44413420463204567"/>
            </c:manualLayout>
          </c:layout>
          <c:overlay val="0"/>
          <c:spPr>
            <a:noFill/>
            <a:ln w="25400">
              <a:noFill/>
            </a:ln>
          </c:spPr>
        </c:title>
        <c:numFmt formatCode="0.0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689871"/>
        <c:crosses val="autoZero"/>
        <c:crossBetween val="between"/>
        <c:majorUnit val="5.0000000000000001E-3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25" l="0.25" r="0.25" t="0.25" header="0" footer="0"/>
    <c:pageSetup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System Losses (%) - 2001 Modified</a:t>
            </a:r>
          </a:p>
        </c:rich>
      </c:tx>
      <c:layout>
        <c:manualLayout>
          <c:xMode val="edge"/>
          <c:yMode val="edge"/>
          <c:x val="0.13851777618706754"/>
          <c:y val="2.71564985674500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608756555164839"/>
          <c:y val="0.15335463258785942"/>
          <c:w val="0.79951444761593427"/>
          <c:h val="0.62140575079872207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Mod'!$M$5:$M$31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27-4D4B-A050-F560DD43970F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ysDash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Mod'!$N$5:$N$31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27-4D4B-A050-F560DD43970F}"/>
            </c:ext>
          </c:extLst>
        </c:ser>
        <c:ser>
          <c:idx val="2"/>
          <c:order val="2"/>
          <c:spPr>
            <a:ln w="12700">
              <a:solidFill>
                <a:srgbClr val="0000FF"/>
              </a:solidFill>
              <a:prstDash val="lgDash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Mod'!$P$5:$P$31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27-4D4B-A050-F560DD43970F}"/>
            </c:ext>
          </c:extLst>
        </c:ser>
        <c:ser>
          <c:idx val="3"/>
          <c:order val="3"/>
          <c:spPr>
            <a:ln w="12700">
              <a:solidFill>
                <a:srgbClr val="993366"/>
              </a:solidFill>
              <a:prstDash val="lgDashDotDot"/>
            </a:ln>
          </c:spPr>
          <c:marker>
            <c:symbol val="none"/>
          </c:marker>
          <c:cat>
            <c:numRef>
              <c:f>'Loss Analysis 2001 Mod'!$B$5:$B$31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2001 Mod'!$R$5:$R$31</c:f>
              <c:numCache>
                <c:formatCode>0.00%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27-4D4B-A050-F560DD439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5641759"/>
        <c:axId val="1"/>
      </c:lineChart>
      <c:catAx>
        <c:axId val="12156417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5965996977650522"/>
              <c:y val="0.845047865200056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(%)</a:t>
                </a:r>
              </a:p>
            </c:rich>
          </c:tx>
          <c:layout>
            <c:manualLayout>
              <c:xMode val="edge"/>
              <c:yMode val="edge"/>
              <c:x val="4.3742495824385587E-2"/>
              <c:y val="0.38019178137084009"/>
            </c:manualLayout>
          </c:layout>
          <c:overlay val="0"/>
          <c:spPr>
            <a:noFill/>
            <a:ln w="25400">
              <a:noFill/>
            </a:ln>
          </c:spPr>
        </c:title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5641759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System Losses (MW)</a:t>
            </a:r>
          </a:p>
        </c:rich>
      </c:tx>
      <c:layout>
        <c:manualLayout>
          <c:xMode val="edge"/>
          <c:yMode val="edge"/>
          <c:x val="0.25183025844397189"/>
          <c:y val="2.82130227733509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48462664714495"/>
          <c:y val="0.13009404388714735"/>
          <c:w val="0.7847730600292826"/>
          <c:h val="0.647335423197492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1995'!$J$5:$J$31</c:f>
              <c:numCache>
                <c:formatCode>0.00</c:formatCode>
                <c:ptCount val="27"/>
                <c:pt idx="0">
                  <c:v>127.87605706766348</c:v>
                </c:pt>
                <c:pt idx="1">
                  <c:v>132.78506323493215</c:v>
                </c:pt>
                <c:pt idx="2">
                  <c:v>138.45303234565989</c:v>
                </c:pt>
                <c:pt idx="3">
                  <c:v>144.87843977193739</c:v>
                </c:pt>
                <c:pt idx="4">
                  <c:v>152.05976436596734</c:v>
                </c:pt>
                <c:pt idx="5">
                  <c:v>159.99548845155573</c:v>
                </c:pt>
                <c:pt idx="6">
                  <c:v>168.68409781562573</c:v>
                </c:pt>
                <c:pt idx="7">
                  <c:v>178.12408169975203</c:v>
                </c:pt>
                <c:pt idx="8">
                  <c:v>188.31393279171763</c:v>
                </c:pt>
                <c:pt idx="9">
                  <c:v>199.2521472170919</c:v>
                </c:pt>
                <c:pt idx="10">
                  <c:v>210.93722453082995</c:v>
                </c:pt>
                <c:pt idx="11">
                  <c:v>223.36766770889375</c:v>
                </c:pt>
                <c:pt idx="12">
                  <c:v>236.54198313989414</c:v>
                </c:pt>
                <c:pt idx="13">
                  <c:v>250.4586806167548</c:v>
                </c:pt>
                <c:pt idx="14">
                  <c:v>265.11627332839669</c:v>
                </c:pt>
                <c:pt idx="15">
                  <c:v>280.51327785144429</c:v>
                </c:pt>
                <c:pt idx="16">
                  <c:v>296.64821414195268</c:v>
                </c:pt>
                <c:pt idx="17">
                  <c:v>313.51960552715622</c:v>
                </c:pt>
                <c:pt idx="18">
                  <c:v>331.12597869723686</c:v>
                </c:pt>
                <c:pt idx="19">
                  <c:v>349.46586369711559</c:v>
                </c:pt>
                <c:pt idx="20">
                  <c:v>368.53779391826288</c:v>
                </c:pt>
                <c:pt idx="21">
                  <c:v>388.34030609053053</c:v>
                </c:pt>
                <c:pt idx="22">
                  <c:v>408.87194027400517</c:v>
                </c:pt>
                <c:pt idx="23">
                  <c:v>430.13123985088197</c:v>
                </c:pt>
                <c:pt idx="24">
                  <c:v>452.11675151735767</c:v>
                </c:pt>
                <c:pt idx="25">
                  <c:v>474.8270252755475</c:v>
                </c:pt>
                <c:pt idx="26">
                  <c:v>498.26061442541891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6E-4CD4-92D2-37576EA41544}"/>
            </c:ext>
          </c:extLst>
        </c:ser>
        <c:ser>
          <c:idx val="1"/>
          <c:order val="1"/>
          <c:spPr>
            <a:ln w="12700">
              <a:solidFill>
                <a:srgbClr val="0000FF"/>
              </a:solidFill>
              <a:prstDash val="sysDash"/>
            </a:ln>
          </c:spPr>
          <c:marker>
            <c:symbol val="none"/>
          </c:marker>
          <c:cat>
            <c:numRef>
              <c:f>'Loss Analysis 1995'!$B$5:$B$31</c:f>
              <c:numCache>
                <c:formatCode>General</c:formatCode>
                <c:ptCount val="27"/>
                <c:pt idx="0">
                  <c:v>2400</c:v>
                </c:pt>
                <c:pt idx="1">
                  <c:v>2800</c:v>
                </c:pt>
                <c:pt idx="2">
                  <c:v>3200</c:v>
                </c:pt>
                <c:pt idx="3">
                  <c:v>3600</c:v>
                </c:pt>
                <c:pt idx="4">
                  <c:v>4000</c:v>
                </c:pt>
                <c:pt idx="5">
                  <c:v>4400</c:v>
                </c:pt>
                <c:pt idx="6">
                  <c:v>4800</c:v>
                </c:pt>
                <c:pt idx="7">
                  <c:v>5200</c:v>
                </c:pt>
                <c:pt idx="8">
                  <c:v>5600</c:v>
                </c:pt>
                <c:pt idx="9">
                  <c:v>6000</c:v>
                </c:pt>
                <c:pt idx="10">
                  <c:v>6400</c:v>
                </c:pt>
                <c:pt idx="11">
                  <c:v>6800</c:v>
                </c:pt>
                <c:pt idx="12">
                  <c:v>7200</c:v>
                </c:pt>
                <c:pt idx="13">
                  <c:v>7600</c:v>
                </c:pt>
                <c:pt idx="14">
                  <c:v>8000</c:v>
                </c:pt>
                <c:pt idx="15">
                  <c:v>8400</c:v>
                </c:pt>
                <c:pt idx="16">
                  <c:v>8800</c:v>
                </c:pt>
                <c:pt idx="17">
                  <c:v>9200</c:v>
                </c:pt>
                <c:pt idx="18">
                  <c:v>9600</c:v>
                </c:pt>
                <c:pt idx="19">
                  <c:v>10000</c:v>
                </c:pt>
                <c:pt idx="20">
                  <c:v>10400</c:v>
                </c:pt>
                <c:pt idx="21">
                  <c:v>10800</c:v>
                </c:pt>
                <c:pt idx="22">
                  <c:v>11200</c:v>
                </c:pt>
                <c:pt idx="23">
                  <c:v>11600</c:v>
                </c:pt>
                <c:pt idx="24">
                  <c:v>12000</c:v>
                </c:pt>
                <c:pt idx="25">
                  <c:v>12400</c:v>
                </c:pt>
                <c:pt idx="26">
                  <c:v>12800</c:v>
                </c:pt>
              </c:numCache>
            </c:numRef>
          </c:cat>
          <c:val>
            <c:numRef>
              <c:f>'Loss Analysis 1995'!$K$5:$K$31</c:f>
              <c:numCache>
                <c:formatCode>0.00</c:formatCode>
                <c:ptCount val="27"/>
                <c:pt idx="0">
                  <c:v>79.092214931606776</c:v>
                </c:pt>
                <c:pt idx="1">
                  <c:v>92.274250753541239</c:v>
                </c:pt>
                <c:pt idx="2">
                  <c:v>105.4562865754757</c:v>
                </c:pt>
                <c:pt idx="3">
                  <c:v>118.63832239741016</c:v>
                </c:pt>
                <c:pt idx="4">
                  <c:v>131.82035821934463</c:v>
                </c:pt>
                <c:pt idx="5">
                  <c:v>145.0023940412791</c:v>
                </c:pt>
                <c:pt idx="6">
                  <c:v>158.18442986321355</c:v>
                </c:pt>
                <c:pt idx="7">
                  <c:v>171.36646568514803</c:v>
                </c:pt>
                <c:pt idx="8">
                  <c:v>184.54850150708248</c:v>
                </c:pt>
                <c:pt idx="9">
                  <c:v>197.73053732901695</c:v>
                </c:pt>
                <c:pt idx="10">
                  <c:v>210.9125731509514</c:v>
                </c:pt>
                <c:pt idx="11">
                  <c:v>224.09460897288588</c:v>
                </c:pt>
                <c:pt idx="12">
                  <c:v>237.27664479482033</c:v>
                </c:pt>
                <c:pt idx="13">
                  <c:v>250.4586806167548</c:v>
                </c:pt>
                <c:pt idx="14">
                  <c:v>263.64071643868925</c:v>
                </c:pt>
                <c:pt idx="15">
                  <c:v>276.82275226062376</c:v>
                </c:pt>
                <c:pt idx="16">
                  <c:v>290.00478808255821</c:v>
                </c:pt>
                <c:pt idx="17">
                  <c:v>303.18682390449266</c:v>
                </c:pt>
                <c:pt idx="18">
                  <c:v>316.3688597264271</c:v>
                </c:pt>
                <c:pt idx="19">
                  <c:v>329.55089554836161</c:v>
                </c:pt>
                <c:pt idx="20">
                  <c:v>342.73293137029606</c:v>
                </c:pt>
                <c:pt idx="21">
                  <c:v>355.91496719223051</c:v>
                </c:pt>
                <c:pt idx="22">
                  <c:v>369.09700301416495</c:v>
                </c:pt>
                <c:pt idx="23">
                  <c:v>382.27903883609946</c:v>
                </c:pt>
                <c:pt idx="24">
                  <c:v>395.46107465803391</c:v>
                </c:pt>
                <c:pt idx="25">
                  <c:v>408.64311047996836</c:v>
                </c:pt>
                <c:pt idx="26">
                  <c:v>421.82514630190281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6E-4CD4-92D2-37576EA41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5640319"/>
        <c:axId val="1"/>
      </c:lineChart>
      <c:catAx>
        <c:axId val="121564031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Load - Input to Substation Transformers (MW)</a:t>
                </a:r>
              </a:p>
            </c:rich>
          </c:tx>
          <c:layout>
            <c:manualLayout>
              <c:xMode val="edge"/>
              <c:yMode val="edge"/>
              <c:x val="0.34846263195202792"/>
              <c:y val="0.846394769516085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Total Losses (MW)</a:t>
                </a:r>
              </a:p>
            </c:rich>
          </c:tx>
          <c:layout>
            <c:manualLayout>
              <c:xMode val="edge"/>
              <c:yMode val="edge"/>
              <c:x val="4.8316186754028011E-2"/>
              <c:y val="0.3667710248793750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5640319"/>
        <c:crosses val="autoZero"/>
        <c:crossBetween val="between"/>
      </c:valAx>
      <c:spPr>
        <a:solidFill>
          <a:srgbClr val="FFFFFF"/>
        </a:solidFill>
        <a:ln w="12700">
          <a:solidFill>
            <a:srgbClr val="969696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5" l="0.75" r="0.75" t="0.51" header="0.5" footer="0.5"/>
    <c:pageSetup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43</xdr:row>
      <xdr:rowOff>57150</xdr:rowOff>
    </xdr:from>
    <xdr:to>
      <xdr:col>10</xdr:col>
      <xdr:colOff>9525</xdr:colOff>
      <xdr:row>80</xdr:row>
      <xdr:rowOff>38100</xdr:rowOff>
    </xdr:to>
    <xdr:graphicFrame macro="">
      <xdr:nvGraphicFramePr>
        <xdr:cNvPr id="6905514" name="Chart 1">
          <a:extLst>
            <a:ext uri="{FF2B5EF4-FFF2-40B4-BE49-F238E27FC236}">
              <a16:creationId xmlns:a16="http://schemas.microsoft.com/office/drawing/2014/main" id="{AF07A803-17AA-FD0E-A0A3-B2B6C2500E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43</xdr:row>
      <xdr:rowOff>57150</xdr:rowOff>
    </xdr:from>
    <xdr:to>
      <xdr:col>19</xdr:col>
      <xdr:colOff>628650</xdr:colOff>
      <xdr:row>81</xdr:row>
      <xdr:rowOff>9525</xdr:rowOff>
    </xdr:to>
    <xdr:graphicFrame macro="">
      <xdr:nvGraphicFramePr>
        <xdr:cNvPr id="6905515" name="Chart 4">
          <a:extLst>
            <a:ext uri="{FF2B5EF4-FFF2-40B4-BE49-F238E27FC236}">
              <a16:creationId xmlns:a16="http://schemas.microsoft.com/office/drawing/2014/main" id="{E7C1BFB3-1714-8D1E-7C94-F100479807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0.62768</cdr:x>
      <cdr:y>0.3208</cdr:y>
    </cdr:from>
    <cdr:to>
      <cdr:x>0.78988</cdr:x>
      <cdr:y>0.33582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7260" y="1666954"/>
          <a:ext cx="1190140" cy="1425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0.77116</cdr:x>
      <cdr:y>0.41833</cdr:y>
    </cdr:from>
    <cdr:to>
      <cdr:x>0.90082</cdr:x>
      <cdr:y>0.44318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8633" y="2732147"/>
          <a:ext cx="1038949" cy="1807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0.23776</cdr:x>
      <cdr:y>0.33929</cdr:y>
    </cdr:from>
    <cdr:to>
      <cdr:x>0.42392</cdr:x>
      <cdr:y>0.36339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0545" y="1941701"/>
          <a:ext cx="1494458" cy="1998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0.18683</cdr:x>
      <cdr:y>0.45254</cdr:y>
    </cdr:from>
    <cdr:to>
      <cdr:x>0.3224</cdr:x>
      <cdr:y>0.49485</cdr:y>
    </cdr:to>
    <cdr:sp macro="" textlink="">
      <cdr:nvSpPr>
        <cdr:cNvPr id="30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3317" y="3023055"/>
          <a:ext cx="1170756" cy="3144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0.75192</cdr:x>
      <cdr:y>0.42005</cdr:y>
    </cdr:from>
    <cdr:to>
      <cdr:x>0.89117</cdr:x>
      <cdr:y>0.44391</cdr:y>
    </cdr:to>
    <cdr:sp macro="" textlink="">
      <cdr:nvSpPr>
        <cdr:cNvPr id="307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7751" y="2732147"/>
          <a:ext cx="1104852" cy="1807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  <cdr:relSizeAnchor xmlns:cdr="http://schemas.openxmlformats.org/drawingml/2006/chartDrawing">
    <cdr:from>
      <cdr:x>0.26385</cdr:x>
      <cdr:y>0.39713</cdr:y>
    </cdr:from>
    <cdr:to>
      <cdr:x>0.26408</cdr:x>
      <cdr:y>0.65919</cdr:y>
    </cdr:to>
    <cdr:sp macro="" textlink="">
      <cdr:nvSpPr>
        <cdr:cNvPr id="307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952309" y="2429485"/>
          <a:ext cx="5815" cy="25505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0.56198</cdr:x>
      <cdr:y>0.39713</cdr:y>
    </cdr:from>
    <cdr:to>
      <cdr:x>0.56397</cdr:x>
      <cdr:y>0.65919</cdr:y>
    </cdr:to>
    <cdr:sp macro="" textlink="">
      <cdr:nvSpPr>
        <cdr:cNvPr id="3079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324834" y="2429485"/>
          <a:ext cx="5815" cy="255058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0.31945</cdr:x>
      <cdr:y>0.60524</cdr:y>
    </cdr:from>
    <cdr:to>
      <cdr:x>0.52888</cdr:x>
      <cdr:y>0.65524</cdr:y>
    </cdr:to>
    <cdr:sp macro="" textlink="">
      <cdr:nvSpPr>
        <cdr:cNvPr id="308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7422" y="4504040"/>
          <a:ext cx="1676662" cy="43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70% of the hours in 1999 fall between these max and min lines.</a:t>
          </a:r>
        </a:p>
      </cdr:txBody>
    </cdr:sp>
  </cdr:relSizeAnchor>
  <cdr:relSizeAnchor xmlns:cdr="http://schemas.openxmlformats.org/drawingml/2006/chartDrawing">
    <cdr:from>
      <cdr:x>0.50417</cdr:x>
      <cdr:y>0.62442</cdr:y>
    </cdr:from>
    <cdr:to>
      <cdr:x>0.56173</cdr:x>
      <cdr:y>0.62442</cdr:y>
    </cdr:to>
    <cdr:sp macro="" textlink="">
      <cdr:nvSpPr>
        <cdr:cNvPr id="3081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22805" y="4601009"/>
          <a:ext cx="50202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0.26796</cdr:x>
      <cdr:y>0.62442</cdr:y>
    </cdr:from>
    <cdr:to>
      <cdr:x>0.32188</cdr:x>
      <cdr:y>0.62442</cdr:y>
    </cdr:to>
    <cdr:sp macro="" textlink="">
      <cdr:nvSpPr>
        <cdr:cNvPr id="3083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2309" y="4601009"/>
          <a:ext cx="40511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0.65715</cdr:x>
      <cdr:y>0.30434</cdr:y>
    </cdr:from>
    <cdr:to>
      <cdr:x>0.85309</cdr:x>
      <cdr:y>0.34716</cdr:y>
    </cdr:to>
    <cdr:sp macro="" textlink="">
      <cdr:nvSpPr>
        <cdr:cNvPr id="61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14735" y="1982970"/>
          <a:ext cx="1477152" cy="314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(MW)</a:t>
          </a:r>
        </a:p>
      </cdr:txBody>
    </cdr:sp>
  </cdr:relSizeAnchor>
  <cdr:relSizeAnchor xmlns:cdr="http://schemas.openxmlformats.org/drawingml/2006/chartDrawing">
    <cdr:from>
      <cdr:x>0.72747</cdr:x>
      <cdr:y>0.40402</cdr:y>
    </cdr:from>
    <cdr:to>
      <cdr:x>0.91078</cdr:x>
      <cdr:y>0.43258</cdr:y>
    </cdr:to>
    <cdr:sp macro="" textlink="">
      <cdr:nvSpPr>
        <cdr:cNvPr id="61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9443" y="2776807"/>
          <a:ext cx="1380582" cy="200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</a:t>
          </a:r>
        </a:p>
      </cdr:txBody>
    </cdr:sp>
  </cdr:relSizeAnchor>
  <cdr:relSizeAnchor xmlns:cdr="http://schemas.openxmlformats.org/drawingml/2006/chartDrawing">
    <cdr:from>
      <cdr:x>0.26307</cdr:x>
      <cdr:y>0.36444</cdr:y>
    </cdr:from>
    <cdr:to>
      <cdr:x>0.26307</cdr:x>
      <cdr:y>0.64653</cdr:y>
    </cdr:to>
    <cdr:sp macro="" textlink="">
      <cdr:nvSpPr>
        <cdr:cNvPr id="614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1458207" y="2576101"/>
          <a:ext cx="0" cy="25402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0.66976</cdr:x>
      <cdr:y>0.35997</cdr:y>
    </cdr:from>
    <cdr:to>
      <cdr:x>0.66924</cdr:x>
      <cdr:y>0.64627</cdr:y>
    </cdr:to>
    <cdr:sp macro="" textlink="">
      <cdr:nvSpPr>
        <cdr:cNvPr id="614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07728" y="2529669"/>
          <a:ext cx="7153" cy="2586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rnd">
          <a:solidFill>
            <a:srgbClr val="000000"/>
          </a:solidFill>
          <a:prstDash val="sysDot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0.36008</cdr:x>
      <cdr:y>0.58326</cdr:y>
    </cdr:from>
    <cdr:to>
      <cdr:x>0.56878</cdr:x>
      <cdr:y>0.62559</cdr:y>
    </cdr:to>
    <cdr:sp macro="" textlink="">
      <cdr:nvSpPr>
        <cdr:cNvPr id="614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0104" y="4592149"/>
          <a:ext cx="1743610" cy="3519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800"/>
            </a:lnSpc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90% of the hours in 1999 fall between these max and min lines.</a:t>
          </a:r>
        </a:p>
      </cdr:txBody>
    </cdr:sp>
  </cdr:relSizeAnchor>
  <cdr:relSizeAnchor xmlns:cdr="http://schemas.openxmlformats.org/drawingml/2006/chartDrawing">
    <cdr:from>
      <cdr:x>0.54464</cdr:x>
      <cdr:y>0.59823</cdr:y>
    </cdr:from>
    <cdr:to>
      <cdr:x>0.66976</cdr:x>
      <cdr:y>0.59823</cdr:y>
    </cdr:to>
    <cdr:sp macro="" textlink="">
      <cdr:nvSpPr>
        <cdr:cNvPr id="615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808058" y="4691004"/>
          <a:ext cx="99967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0.26407</cdr:x>
      <cdr:y>0.59823</cdr:y>
    </cdr:from>
    <cdr:to>
      <cdr:x>0.3564</cdr:x>
      <cdr:y>0.59823</cdr:y>
    </cdr:to>
    <cdr:sp macro="" textlink="">
      <cdr:nvSpPr>
        <cdr:cNvPr id="6151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458207" y="4691004"/>
          <a:ext cx="760035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137</xdr:row>
      <xdr:rowOff>9525</xdr:rowOff>
    </xdr:from>
    <xdr:to>
      <xdr:col>14</xdr:col>
      <xdr:colOff>495300</xdr:colOff>
      <xdr:row>174</xdr:row>
      <xdr:rowOff>85725</xdr:rowOff>
    </xdr:to>
    <xdr:graphicFrame macro="">
      <xdr:nvGraphicFramePr>
        <xdr:cNvPr id="6879939" name="Chart 5">
          <a:extLst>
            <a:ext uri="{FF2B5EF4-FFF2-40B4-BE49-F238E27FC236}">
              <a16:creationId xmlns:a16="http://schemas.microsoft.com/office/drawing/2014/main" id="{9E9FFE07-A9AB-6837-D25F-8D447D6512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</xdr:colOff>
      <xdr:row>99</xdr:row>
      <xdr:rowOff>9525</xdr:rowOff>
    </xdr:from>
    <xdr:to>
      <xdr:col>15</xdr:col>
      <xdr:colOff>123825</xdr:colOff>
      <xdr:row>131</xdr:row>
      <xdr:rowOff>19050</xdr:rowOff>
    </xdr:to>
    <xdr:graphicFrame macro="">
      <xdr:nvGraphicFramePr>
        <xdr:cNvPr id="6879940" name="Chart 6">
          <a:extLst>
            <a:ext uri="{FF2B5EF4-FFF2-40B4-BE49-F238E27FC236}">
              <a16:creationId xmlns:a16="http://schemas.microsoft.com/office/drawing/2014/main" id="{5B1BC9C8-8B85-AA95-9FB1-541C69762CDE}"/>
            </a:ext>
            <a:ext uri="{147F2762-F138-4A5C-976F-8EAC2B608ADB}">
              <a16:predDERef xmlns:a16="http://schemas.microsoft.com/office/drawing/2014/main" pred="{9E9FFE07-A9AB-6837-D25F-8D447D6512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323850</xdr:colOff>
      <xdr:row>107</xdr:row>
      <xdr:rowOff>95250</xdr:rowOff>
    </xdr:from>
    <xdr:to>
      <xdr:col>13</xdr:col>
      <xdr:colOff>352425</xdr:colOff>
      <xdr:row>124</xdr:row>
      <xdr:rowOff>180975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3266EE9-C965-4EA8-9608-292803B4A609}"/>
            </a:ext>
            <a:ext uri="{147F2762-F138-4A5C-976F-8EAC2B608ADB}">
              <a16:predDERef xmlns:a16="http://schemas.microsoft.com/office/drawing/2014/main" pred="{5E975FE6-B74E-4916-9099-1F2E978E9C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687300" y="18478500"/>
          <a:ext cx="28575" cy="3524250"/>
        </a:xfrm>
        <a:prstGeom prst="rect">
          <a:avLst/>
        </a:prstGeom>
      </xdr:spPr>
    </xdr:pic>
    <xdr:clientData/>
  </xdr:twoCellAnchor>
  <xdr:twoCellAnchor editAs="oneCell">
    <xdr:from>
      <xdr:col>9</xdr:col>
      <xdr:colOff>114300</xdr:colOff>
      <xdr:row>108</xdr:row>
      <xdr:rowOff>171450</xdr:rowOff>
    </xdr:from>
    <xdr:to>
      <xdr:col>9</xdr:col>
      <xdr:colOff>142875</xdr:colOff>
      <xdr:row>126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F8A0E9D-CAEF-4558-B955-2E0A839CA216}"/>
            </a:ext>
            <a:ext uri="{147F2762-F138-4A5C-976F-8EAC2B608ADB}">
              <a16:predDERef xmlns:a16="http://schemas.microsoft.com/office/drawing/2014/main" pred="{53266EE9-C965-4EA8-9608-292803B4A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620125" y="18754725"/>
          <a:ext cx="28575" cy="3524250"/>
        </a:xfrm>
        <a:prstGeom prst="rect">
          <a:avLst/>
        </a:prstGeom>
      </xdr:spPr>
    </xdr:pic>
    <xdr:clientData/>
  </xdr:twoCellAnchor>
  <xdr:twoCellAnchor editAs="oneCell">
    <xdr:from>
      <xdr:col>11</xdr:col>
      <xdr:colOff>295275</xdr:colOff>
      <xdr:row>147</xdr:row>
      <xdr:rowOff>114300</xdr:rowOff>
    </xdr:from>
    <xdr:to>
      <xdr:col>11</xdr:col>
      <xdr:colOff>323850</xdr:colOff>
      <xdr:row>169</xdr:row>
      <xdr:rowOff>76200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219A2BF-18BD-4C9F-A15D-0038D6821CB7}"/>
            </a:ext>
            <a:ext uri="{147F2762-F138-4A5C-976F-8EAC2B608ADB}">
              <a16:predDERef xmlns:a16="http://schemas.microsoft.com/office/drawing/2014/main" pred="{4F8A0E9D-CAEF-4558-B955-2E0A839CA2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715625" y="26069925"/>
          <a:ext cx="28575" cy="3524250"/>
        </a:xfrm>
        <a:prstGeom prst="rect">
          <a:avLst/>
        </a:prstGeom>
      </xdr:spPr>
    </xdr:pic>
    <xdr:clientData/>
  </xdr:twoCellAnchor>
  <xdr:twoCellAnchor editAs="oneCell">
    <xdr:from>
      <xdr:col>7</xdr:col>
      <xdr:colOff>561975</xdr:colOff>
      <xdr:row>148</xdr:row>
      <xdr:rowOff>104775</xdr:rowOff>
    </xdr:from>
    <xdr:to>
      <xdr:col>7</xdr:col>
      <xdr:colOff>590550</xdr:colOff>
      <xdr:row>170</xdr:row>
      <xdr:rowOff>66675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AE0A731-152D-4E36-A074-0804BDEFFE27}"/>
            </a:ext>
            <a:ext uri="{147F2762-F138-4A5C-976F-8EAC2B608ADB}">
              <a16:predDERef xmlns:a16="http://schemas.microsoft.com/office/drawing/2014/main" pred="{E219A2BF-18BD-4C9F-A15D-0038D6821C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53325" y="26222325"/>
          <a:ext cx="28575" cy="3524250"/>
        </a:xfrm>
        <a:prstGeom prst="rect">
          <a:avLst/>
        </a:prstGeom>
      </xdr:spPr>
    </xdr:pic>
    <xdr:clientData/>
  </xdr:twoCellAnchor>
  <xdr:twoCellAnchor>
    <xdr:from>
      <xdr:col>5</xdr:col>
      <xdr:colOff>466725</xdr:colOff>
      <xdr:row>109</xdr:row>
      <xdr:rowOff>9525</xdr:rowOff>
    </xdr:from>
    <xdr:to>
      <xdr:col>7</xdr:col>
      <xdr:colOff>742950</xdr:colOff>
      <xdr:row>116</xdr:row>
      <xdr:rowOff>38100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CAB01CE-16EE-6D44-62CF-64F336E0DCDA}"/>
            </a:ext>
            <a:ext uri="{147F2762-F138-4A5C-976F-8EAC2B608ADB}">
              <a16:predDERef xmlns:a16="http://schemas.microsoft.com/office/drawing/2014/main" pred="{3AE0A731-152D-4E36-A074-0804BDEFFE27}"/>
            </a:ext>
          </a:extLst>
        </xdr:cNvPr>
        <xdr:cNvSpPr txBox="1"/>
      </xdr:nvSpPr>
      <xdr:spPr>
        <a:xfrm>
          <a:off x="5000625" y="18792825"/>
          <a:ext cx="2733675" cy="142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txBody>
        <a:bodyPr spcFirstLastPara="0" vertOverflow="clip" horzOverflow="clip" wrap="square" lIns="91440" tIns="45720" rIns="91440" bIns="45720" rtlCol="0" anchor="t">
          <a:noAutofit/>
        </a:bodyPr>
        <a:lstStyle/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Calculated Losses as per ERCOT Protocol</a:t>
          </a:r>
        </a:p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DLF = F1*(SIEL/AAL) + F2 + F3/(SIEL/AAL)</a:t>
          </a:r>
        </a:p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F1 = .01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6100</a:t>
          </a:r>
          <a:endParaRPr lang="en-US" sz="1100">
            <a:latin typeface="+mn-lt"/>
            <a:ea typeface="+mn-lt"/>
            <a:cs typeface="+mn-lt"/>
          </a:endParaRPr>
        </a:p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F2 = -.0051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0</a:t>
          </a:r>
          <a:r>
            <a:rPr lang="en-US" sz="1100">
              <a:latin typeface="+mn-lt"/>
              <a:ea typeface="+mn-lt"/>
              <a:cs typeface="+mn-lt"/>
            </a:rPr>
            <a:t>0</a:t>
          </a:r>
        </a:p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F3 = .002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375</a:t>
          </a:r>
          <a:endParaRPr lang="en-US" sz="1100">
            <a:latin typeface="+mn-lt"/>
            <a:ea typeface="+mn-lt"/>
            <a:cs typeface="+mn-lt"/>
          </a:endParaRPr>
        </a:p>
        <a:p>
          <a:pPr marL="0" indent="0" algn="l"/>
          <a:endParaRPr lang="en-US" sz="1100">
            <a:latin typeface="+mn-lt"/>
            <a:ea typeface="+mn-lt"/>
            <a:cs typeface="+mn-lt"/>
          </a:endParaRPr>
        </a:p>
      </xdr:txBody>
    </xdr:sp>
    <xdr:clientData/>
  </xdr:twoCellAnchor>
  <xdr:twoCellAnchor>
    <xdr:from>
      <xdr:col>5</xdr:col>
      <xdr:colOff>38100</xdr:colOff>
      <xdr:row>157</xdr:row>
      <xdr:rowOff>0</xdr:rowOff>
    </xdr:from>
    <xdr:to>
      <xdr:col>7</xdr:col>
      <xdr:colOff>314325</xdr:colOff>
      <xdr:row>165</xdr:row>
      <xdr:rowOff>133350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3326543-F339-41F2-8E8B-204BAD66C1CA}"/>
            </a:ext>
            <a:ext uri="{147F2762-F138-4A5C-976F-8EAC2B608ADB}">
              <a16:predDERef xmlns:a16="http://schemas.microsoft.com/office/drawing/2014/main" pred="{0CAB01CE-16EE-6D44-62CF-64F336E0DCDA}"/>
            </a:ext>
          </a:extLst>
        </xdr:cNvPr>
        <xdr:cNvSpPr txBox="1"/>
      </xdr:nvSpPr>
      <xdr:spPr>
        <a:xfrm>
          <a:off x="4572000" y="27574875"/>
          <a:ext cx="2733675" cy="1428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Calculated Losses as per ERCOT Protocol</a:t>
          </a:r>
        </a:p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DLF = F1*(SIEL/AAL) + F2 + F3/(SIEL/AAL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)</a:t>
          </a:r>
          <a:endParaRPr lang="en-US" sz="1100">
            <a:latin typeface="+mn-lt"/>
            <a:ea typeface="+mn-lt"/>
            <a:cs typeface="+mn-lt"/>
          </a:endParaRPr>
        </a:p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F1 = .0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22000</a:t>
          </a:r>
          <a:endParaRPr lang="en-US" sz="1100">
            <a:latin typeface="+mn-lt"/>
            <a:ea typeface="+mn-lt"/>
            <a:cs typeface="+mn-lt"/>
          </a:endParaRPr>
        </a:p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F2 = -.00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6150</a:t>
          </a:r>
          <a:endParaRPr lang="en-US" sz="1100">
            <a:latin typeface="+mn-lt"/>
            <a:ea typeface="+mn-lt"/>
            <a:cs typeface="+mn-lt"/>
          </a:endParaRPr>
        </a:p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F3 = .0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23840</a:t>
          </a:r>
          <a:endParaRPr lang="en-US" sz="1100">
            <a:latin typeface="+mn-lt"/>
            <a:ea typeface="+mn-lt"/>
            <a:cs typeface="+mn-lt"/>
          </a:endParaRPr>
        </a:p>
        <a:p>
          <a:pPr marL="0" indent="0" algn="l"/>
          <a:endParaRPr lang="en-US" sz="1100">
            <a:latin typeface="+mn-lt"/>
            <a:ea typeface="+mn-lt"/>
            <a:cs typeface="+mn-lt"/>
          </a:endParaRPr>
        </a:p>
      </xdr:txBody>
    </xdr:sp>
    <xdr:clientData/>
  </xdr:twoCellAnchor>
  <xdr:twoCellAnchor>
    <xdr:from>
      <xdr:col>6</xdr:col>
      <xdr:colOff>466725</xdr:colOff>
      <xdr:row>124</xdr:row>
      <xdr:rowOff>104775</xdr:rowOff>
    </xdr:from>
    <xdr:to>
      <xdr:col>9</xdr:col>
      <xdr:colOff>28575</xdr:colOff>
      <xdr:row>126</xdr:row>
      <xdr:rowOff>38100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C819BCF5-C0DB-0E88-0EE5-183F80492E14}"/>
            </a:ext>
            <a:ext uri="{147F2762-F138-4A5C-976F-8EAC2B608ADB}">
              <a16:predDERef xmlns:a16="http://schemas.microsoft.com/office/drawing/2014/main" pred="{33326543-F339-41F2-8E8B-204BAD66C1CA}"/>
            </a:ext>
          </a:extLst>
        </xdr:cNvPr>
        <xdr:cNvSpPr txBox="1"/>
      </xdr:nvSpPr>
      <xdr:spPr>
        <a:xfrm>
          <a:off x="6572250" y="21926550"/>
          <a:ext cx="196215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txBody>
        <a:bodyPr spcFirstLastPara="0" vertOverflow="clip" horzOverflow="clip" wrap="square" lIns="91440" tIns="45720" rIns="91440" bIns="45720" rtlCol="0" anchor="t">
          <a:noAutofit/>
        </a:bodyPr>
        <a:lstStyle/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ERCOT AAL (15 mins) = 12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,450</a:t>
          </a:r>
          <a:endParaRPr lang="en-US" sz="1100">
            <a:latin typeface="+mn-lt"/>
            <a:ea typeface="+mn-lt"/>
            <a:cs typeface="+mn-lt"/>
          </a:endParaRPr>
        </a:p>
        <a:p>
          <a:pPr marL="0" indent="0" algn="l"/>
          <a:endParaRPr lang="en-US" sz="1100">
            <a:latin typeface="+mn-lt"/>
            <a:ea typeface="+mn-lt"/>
            <a:cs typeface="+mn-lt"/>
          </a:endParaRPr>
        </a:p>
      </xdr:txBody>
    </xdr:sp>
    <xdr:clientData/>
  </xdr:twoCellAnchor>
  <xdr:twoCellAnchor>
    <xdr:from>
      <xdr:col>5</xdr:col>
      <xdr:colOff>942975</xdr:colOff>
      <xdr:row>167</xdr:row>
      <xdr:rowOff>76200</xdr:rowOff>
    </xdr:from>
    <xdr:to>
      <xdr:col>7</xdr:col>
      <xdr:colOff>447675</xdr:colOff>
      <xdr:row>169</xdr:row>
      <xdr:rowOff>85725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1AA012D9-6468-4B48-B276-1ADDD56F867E}"/>
            </a:ext>
            <a:ext uri="{147F2762-F138-4A5C-976F-8EAC2B608ADB}">
              <a16:predDERef xmlns:a16="http://schemas.microsoft.com/office/drawing/2014/main" pred="{C819BCF5-C0DB-0E88-0EE5-183F80492E14}"/>
            </a:ext>
          </a:extLst>
        </xdr:cNvPr>
        <xdr:cNvSpPr txBox="1"/>
      </xdr:nvSpPr>
      <xdr:spPr>
        <a:xfrm>
          <a:off x="5476875" y="29270325"/>
          <a:ext cx="196215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ERCOT AAL (15 mins) = 12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,450</a:t>
          </a:r>
          <a:endParaRPr lang="en-US" sz="1100">
            <a:latin typeface="+mn-lt"/>
            <a:ea typeface="+mn-lt"/>
            <a:cs typeface="+mn-lt"/>
          </a:endParaRPr>
        </a:p>
        <a:p>
          <a:pPr marL="0" indent="0" algn="l"/>
          <a:endParaRPr lang="en-US" sz="1100">
            <a:latin typeface="+mn-lt"/>
            <a:ea typeface="+mn-lt"/>
            <a:cs typeface="+mn-lt"/>
          </a:endParaRPr>
        </a:p>
      </xdr:txBody>
    </xdr:sp>
    <xdr:clientData/>
  </xdr:twoCellAnchor>
  <xdr:twoCellAnchor>
    <xdr:from>
      <xdr:col>11</xdr:col>
      <xdr:colOff>361950</xdr:colOff>
      <xdr:row>168</xdr:row>
      <xdr:rowOff>9525</xdr:rowOff>
    </xdr:from>
    <xdr:to>
      <xdr:col>13</xdr:col>
      <xdr:colOff>381000</xdr:colOff>
      <xdr:row>170</xdr:row>
      <xdr:rowOff>19050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3FA9A87E-B315-4FDE-9F29-F084A443EB7A}"/>
            </a:ext>
            <a:ext uri="{147F2762-F138-4A5C-976F-8EAC2B608ADB}">
              <a16:predDERef xmlns:a16="http://schemas.microsoft.com/office/drawing/2014/main" pred="{1AA012D9-6468-4B48-B276-1ADDD56F867E}"/>
            </a:ext>
          </a:extLst>
        </xdr:cNvPr>
        <xdr:cNvSpPr txBox="1"/>
      </xdr:nvSpPr>
      <xdr:spPr>
        <a:xfrm>
          <a:off x="10782300" y="29365575"/>
          <a:ext cx="196215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ERCOT 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Peak</a:t>
          </a:r>
          <a:r>
            <a:rPr lang="en-US" sz="1100">
              <a:latin typeface="+mn-lt"/>
              <a:ea typeface="+mn-lt"/>
              <a:cs typeface="+mn-lt"/>
            </a:rPr>
            <a:t> (15 mins) = 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21,394</a:t>
          </a:r>
        </a:p>
      </xdr:txBody>
    </xdr:sp>
    <xdr:clientData/>
  </xdr:twoCellAnchor>
  <xdr:twoCellAnchor>
    <xdr:from>
      <xdr:col>11</xdr:col>
      <xdr:colOff>266700</xdr:colOff>
      <xdr:row>124</xdr:row>
      <xdr:rowOff>19050</xdr:rowOff>
    </xdr:from>
    <xdr:to>
      <xdr:col>13</xdr:col>
      <xdr:colOff>285750</xdr:colOff>
      <xdr:row>125</xdr:row>
      <xdr:rowOff>152400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BED95DD-A34A-43CD-9F0A-6DA21E32D764}"/>
            </a:ext>
            <a:ext uri="{147F2762-F138-4A5C-976F-8EAC2B608ADB}">
              <a16:predDERef xmlns:a16="http://schemas.microsoft.com/office/drawing/2014/main" pred="{3FA9A87E-B315-4FDE-9F29-F084A443EB7A}"/>
            </a:ext>
          </a:extLst>
        </xdr:cNvPr>
        <xdr:cNvSpPr txBox="1"/>
      </xdr:nvSpPr>
      <xdr:spPr>
        <a:xfrm>
          <a:off x="10687050" y="21840825"/>
          <a:ext cx="196215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 algn="l"/>
          <a:r>
            <a:rPr lang="en-US" sz="1100">
              <a:latin typeface="+mn-lt"/>
              <a:ea typeface="+mn-lt"/>
              <a:cs typeface="+mn-lt"/>
            </a:rPr>
            <a:t>ERCOT 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Peak</a:t>
          </a:r>
          <a:r>
            <a:rPr lang="en-US" sz="1100">
              <a:latin typeface="+mn-lt"/>
              <a:ea typeface="+mn-lt"/>
              <a:cs typeface="+mn-lt"/>
            </a:rPr>
            <a:t> (15 mins) = </a:t>
          </a:r>
          <a:r>
            <a:rPr lang="en-US" sz="1100" b="0" i="0" u="none" strike="noStrike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21,394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0.65487</cdr:x>
      <cdr:y>0.2786</cdr:y>
    </cdr:from>
    <cdr:to>
      <cdr:x>0.65487</cdr:x>
      <cdr:y>0.2786</cdr:y>
    </cdr:to>
    <cdr:sp macro="" textlink="">
      <cdr:nvSpPr>
        <cdr:cNvPr id="839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301" y="220878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0.79123</cdr:x>
      <cdr:y>0.44231</cdr:y>
    </cdr:from>
    <cdr:to>
      <cdr:x>0.79123</cdr:x>
      <cdr:y>0.44231</cdr:y>
    </cdr:to>
    <cdr:sp macro="" textlink="">
      <cdr:nvSpPr>
        <cdr:cNvPr id="839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1327" y="352886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0.29465</cdr:x>
      <cdr:y>0.31755</cdr:y>
    </cdr:from>
    <cdr:to>
      <cdr:x>0.29465</cdr:x>
      <cdr:y>0.31755</cdr:y>
    </cdr:to>
    <cdr:sp macro="" textlink="">
      <cdr:nvSpPr>
        <cdr:cNvPr id="839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2883" y="256451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0.25701</cdr:x>
      <cdr:y>0.49136</cdr:y>
    </cdr:from>
    <cdr:to>
      <cdr:x>0.25701</cdr:x>
      <cdr:y>0.49136</cdr:y>
    </cdr:to>
    <cdr:sp macro="" textlink="">
      <cdr:nvSpPr>
        <cdr:cNvPr id="839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1163" y="388965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0.77193</cdr:x>
      <cdr:y>0.44231</cdr:y>
    </cdr:from>
    <cdr:to>
      <cdr:x>0.77193</cdr:x>
      <cdr:y>0.44231</cdr:y>
    </cdr:to>
    <cdr:sp macro="" textlink="">
      <cdr:nvSpPr>
        <cdr:cNvPr id="839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73484" y="352886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  <cdr:relSizeAnchor xmlns:cdr="http://schemas.openxmlformats.org/drawingml/2006/chartDrawing">
    <cdr:from>
      <cdr:x>0.35775</cdr:x>
      <cdr:y>0.49632</cdr:y>
    </cdr:from>
    <cdr:to>
      <cdr:x>0.35775</cdr:x>
      <cdr:y>0.49632</cdr:y>
    </cdr:to>
    <cdr:sp macro="" textlink="">
      <cdr:nvSpPr>
        <cdr:cNvPr id="839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4297" y="396720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 = 0.85)</a:t>
          </a:r>
        </a:p>
      </cdr:txBody>
    </cdr:sp>
  </cdr:relSizeAnchor>
  <cdr:relSizeAnchor xmlns:cdr="http://schemas.openxmlformats.org/drawingml/2006/chartDrawing">
    <cdr:from>
      <cdr:x>0.47732</cdr:x>
      <cdr:y>0.34681</cdr:y>
    </cdr:from>
    <cdr:to>
      <cdr:x>0.47807</cdr:x>
      <cdr:y>0.8009</cdr:y>
    </cdr:to>
    <cdr:sp macro="" textlink="">
      <cdr:nvSpPr>
        <cdr:cNvPr id="83977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626275" y="2313675"/>
          <a:ext cx="7371" cy="289404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0.83191</cdr:x>
      <cdr:y>0.28376</cdr:y>
    </cdr:from>
    <cdr:to>
      <cdr:x>0.83438</cdr:x>
      <cdr:y>0.80345</cdr:y>
    </cdr:to>
    <cdr:sp macro="" textlink="">
      <cdr:nvSpPr>
        <cdr:cNvPr id="83983" name="Line 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8162025" y="1866433"/>
          <a:ext cx="21865" cy="335914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0.29869</cdr:x>
      <cdr:y>0.25935</cdr:y>
    </cdr:from>
    <cdr:to>
      <cdr:x>0.34255</cdr:x>
      <cdr:y>0.34428</cdr:y>
    </cdr:to>
    <cdr:sp macro="" textlink="">
      <cdr:nvSpPr>
        <cdr:cNvPr id="83985" name="Line 1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31546" y="1890132"/>
          <a:ext cx="472451" cy="527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0.34242</cdr:x>
      <cdr:y>0.23987</cdr:y>
    </cdr:from>
    <cdr:to>
      <cdr:x>0.58438</cdr:x>
      <cdr:y>0.28474</cdr:y>
    </cdr:to>
    <cdr:sp macro="" textlink="">
      <cdr:nvSpPr>
        <cdr:cNvPr id="83986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525" y="1842938"/>
          <a:ext cx="2494640" cy="360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Actual Losses</a:t>
          </a:r>
        </a:p>
      </cdr:txBody>
    </cdr:sp>
  </cdr:relSizeAnchor>
  <cdr:relSizeAnchor xmlns:cdr="http://schemas.openxmlformats.org/drawingml/2006/chartDrawing">
    <cdr:from>
      <cdr:x>0.26571</cdr:x>
      <cdr:y>0.37761</cdr:y>
    </cdr:from>
    <cdr:to>
      <cdr:x>0.28787</cdr:x>
      <cdr:y>0.47292</cdr:y>
    </cdr:to>
    <cdr:sp macro="" textlink="">
      <cdr:nvSpPr>
        <cdr:cNvPr id="83987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211624" y="2702378"/>
          <a:ext cx="233332" cy="59540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0.15307</cdr:x>
      <cdr:y>0.50552</cdr:y>
    </cdr:from>
    <cdr:to>
      <cdr:x>0.3619</cdr:x>
      <cdr:y>0.6922</cdr:y>
    </cdr:to>
    <cdr:sp macro="" textlink="">
      <cdr:nvSpPr>
        <cdr:cNvPr id="1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881" y="3334988"/>
          <a:ext cx="2196289" cy="1014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Calculated Losses as per ERCOT Protocol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DLF = F1*(SIEL/AAL) + F2 + F3/(SIEL/AAL)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F1 = .022900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F2 = -.006500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F3 = .022000</a:t>
          </a:r>
        </a:p>
      </cdr:txBody>
    </cdr:sp>
  </cdr:relSizeAnchor>
  <cdr:relSizeAnchor xmlns:cdr="http://schemas.openxmlformats.org/drawingml/2006/chartDrawing">
    <cdr:from>
      <cdr:x>0.27712</cdr:x>
      <cdr:y>0.69855</cdr:y>
    </cdr:from>
    <cdr:to>
      <cdr:x>0.44202</cdr:x>
      <cdr:y>0.73604</cdr:y>
    </cdr:to>
    <cdr:sp macro="" textlink="">
      <cdr:nvSpPr>
        <cdr:cNvPr id="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4514" y="4477657"/>
          <a:ext cx="1709801" cy="212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AAL (15 mins) = 12,450</a:t>
          </a:r>
        </a:p>
      </cdr:txBody>
    </cdr:sp>
  </cdr:relSizeAnchor>
  <cdr:relSizeAnchor xmlns:cdr="http://schemas.openxmlformats.org/drawingml/2006/chartDrawing">
    <cdr:from>
      <cdr:x>0.53318</cdr:x>
      <cdr:y>0.7055</cdr:y>
    </cdr:from>
    <cdr:to>
      <cdr:x>0.7009</cdr:x>
      <cdr:y>0.74418</cdr:y>
    </cdr:to>
    <cdr:sp macro="" textlink="">
      <cdr:nvSpPr>
        <cdr:cNvPr id="3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04883" y="4654550"/>
          <a:ext cx="1683833" cy="2245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Peak (15 min) = 21,394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0.63632</cdr:x>
      <cdr:y>0.30082</cdr:y>
    </cdr:from>
    <cdr:to>
      <cdr:x>0.63632</cdr:x>
      <cdr:y>0.30082</cdr:y>
    </cdr:to>
    <cdr:sp macro="" textlink="">
      <cdr:nvSpPr>
        <cdr:cNvPr id="1013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85999" y="22394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0.77175</cdr:x>
      <cdr:y>0.45026</cdr:y>
    </cdr:from>
    <cdr:to>
      <cdr:x>0.77175</cdr:x>
      <cdr:y>0.45026</cdr:y>
    </cdr:to>
    <cdr:sp macro="" textlink="">
      <cdr:nvSpPr>
        <cdr:cNvPr id="1013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28624" y="356098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0.28045</cdr:x>
      <cdr:y>0.33878</cdr:y>
    </cdr:from>
    <cdr:to>
      <cdr:x>0.28045</cdr:x>
      <cdr:y>0.33878</cdr:y>
    </cdr:to>
    <cdr:sp macro="" textlink="">
      <cdr:nvSpPr>
        <cdr:cNvPr id="1013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2900" y="259295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0.24876</cdr:x>
      <cdr:y>0.49346</cdr:y>
    </cdr:from>
    <cdr:to>
      <cdr:x>0.24876</cdr:x>
      <cdr:y>0.49346</cdr:y>
    </cdr:to>
    <cdr:sp macro="" textlink="">
      <cdr:nvSpPr>
        <cdr:cNvPr id="10138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26908" y="391453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0.75145</cdr:x>
      <cdr:y>0.45026</cdr:y>
    </cdr:from>
    <cdr:to>
      <cdr:x>0.75145</cdr:x>
      <cdr:y>0.45026</cdr:y>
    </cdr:to>
    <cdr:sp macro="" textlink="">
      <cdr:nvSpPr>
        <cdr:cNvPr id="10138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41172" y="356098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  <cdr:relSizeAnchor xmlns:cdr="http://schemas.openxmlformats.org/drawingml/2006/chartDrawing">
    <cdr:from>
      <cdr:x>0.33785</cdr:x>
      <cdr:y>0.50479</cdr:y>
    </cdr:from>
    <cdr:to>
      <cdr:x>0.33785</cdr:x>
      <cdr:y>0.50479</cdr:y>
    </cdr:to>
    <cdr:sp macro="" textlink="">
      <cdr:nvSpPr>
        <cdr:cNvPr id="10138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9609" y="400712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50" b="0" i="0" strike="noStrike">
              <a:solidFill>
                <a:srgbClr val="000000"/>
              </a:solidFill>
              <a:latin typeface="Arial"/>
              <a:cs typeface="Arial"/>
            </a:rPr>
            <a:t>Best Fit (K = 0.85)</a:t>
          </a:r>
        </a:p>
      </cdr:txBody>
    </cdr:sp>
  </cdr:relSizeAnchor>
  <cdr:relSizeAnchor xmlns:cdr="http://schemas.openxmlformats.org/drawingml/2006/chartDrawing">
    <cdr:from>
      <cdr:x>0.46149</cdr:x>
      <cdr:y>0.42642</cdr:y>
    </cdr:from>
    <cdr:to>
      <cdr:x>0.46165</cdr:x>
      <cdr:y>0.79897</cdr:y>
    </cdr:to>
    <cdr:sp macro="" textlink="">
      <cdr:nvSpPr>
        <cdr:cNvPr id="101386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463975" y="2915553"/>
          <a:ext cx="1569" cy="23721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0.82323</cdr:x>
      <cdr:y>0.28038</cdr:y>
    </cdr:from>
    <cdr:to>
      <cdr:x>0.82351</cdr:x>
      <cdr:y>0.7971</cdr:y>
    </cdr:to>
    <cdr:sp macro="" textlink="">
      <cdr:nvSpPr>
        <cdr:cNvPr id="101387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8080957" y="1874142"/>
          <a:ext cx="2745" cy="340300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0.46623</cdr:x>
      <cdr:y>0.54054</cdr:y>
    </cdr:from>
    <cdr:to>
      <cdr:x>0.63205</cdr:x>
      <cdr:y>0.57397</cdr:y>
    </cdr:to>
    <cdr:sp macro="" textlink="">
      <cdr:nvSpPr>
        <cdr:cNvPr id="101388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5115" y="3786868"/>
          <a:ext cx="1725120" cy="1844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AAL (15 mins) = 12,450</a:t>
          </a:r>
        </a:p>
      </cdr:txBody>
    </cdr:sp>
  </cdr:relSizeAnchor>
  <cdr:relSizeAnchor xmlns:cdr="http://schemas.openxmlformats.org/drawingml/2006/chartDrawing">
    <cdr:from>
      <cdr:x>0.57877</cdr:x>
      <cdr:y>0.67209</cdr:y>
    </cdr:from>
    <cdr:to>
      <cdr:x>0.74878</cdr:x>
      <cdr:y>0.70961</cdr:y>
    </cdr:to>
    <cdr:sp macro="" textlink="">
      <cdr:nvSpPr>
        <cdr:cNvPr id="101389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81550" y="4509487"/>
          <a:ext cx="1700788" cy="2113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Peak (15 min) = 21,394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0.23244</cdr:x>
      <cdr:y>0.66276</cdr:y>
    </cdr:from>
    <cdr:to>
      <cdr:x>0.44001</cdr:x>
      <cdr:y>0.84461</cdr:y>
    </cdr:to>
    <cdr:sp macro="" textlink="">
      <cdr:nvSpPr>
        <cdr:cNvPr id="101390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0887" y="4501943"/>
          <a:ext cx="2227555" cy="10130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Calculated Losses as per ERCOT Protocol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DLF = F1*(SIEL/AAL) + F2 + F3/(SIEL/AAL)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F1 = .016131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F2 = -.004940</a:t>
          </a:r>
        </a:p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F3 = .002375</a:t>
          </a:r>
        </a:p>
        <a:p xmlns:a="http://schemas.openxmlformats.org/drawingml/2006/main">
          <a:pPr algn="l" rtl="0">
            <a:lnSpc>
              <a:spcPts val="600"/>
            </a:lnSpc>
            <a:defRPr sz="1000"/>
          </a:pPr>
          <a:endParaRPr lang="en-US" sz="67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0.20183</cdr:x>
      <cdr:y>0.69585</cdr:y>
    </cdr:from>
    <cdr:to>
      <cdr:x>0.23026</cdr:x>
      <cdr:y>0.76567</cdr:y>
    </cdr:to>
    <cdr:sp macro="" textlink="">
      <cdr:nvSpPr>
        <cdr:cNvPr id="101391" name="Line 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19714" y="4838452"/>
          <a:ext cx="306409" cy="39012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0.20538</cdr:x>
      <cdr:y>0.4318</cdr:y>
    </cdr:from>
    <cdr:to>
      <cdr:x>0.28367</cdr:x>
      <cdr:y>0.54382</cdr:y>
    </cdr:to>
    <cdr:sp macro="" textlink="">
      <cdr:nvSpPr>
        <cdr:cNvPr id="101392" name="Line 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543050" y="3108897"/>
          <a:ext cx="775934" cy="7804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0.25911</cdr:x>
      <cdr:y>0.38996</cdr:y>
    </cdr:from>
    <cdr:to>
      <cdr:x>0.39603</cdr:x>
      <cdr:y>0.42931</cdr:y>
    </cdr:to>
    <cdr:sp macro="" textlink="">
      <cdr:nvSpPr>
        <cdr:cNvPr id="101393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8592" y="2779939"/>
          <a:ext cx="1429849" cy="263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Actual Losses</a:t>
          </a:r>
        </a:p>
      </cdr:txBody>
    </cdr:sp>
  </cdr:relSizeAnchor>
  <cdr:relSizeAnchor xmlns:cdr="http://schemas.openxmlformats.org/drawingml/2006/chartDrawing">
    <cdr:from>
      <cdr:x>0.00518</cdr:x>
      <cdr:y>0.00789</cdr:y>
    </cdr:from>
    <cdr:to>
      <cdr:x>0.1977</cdr:x>
      <cdr:y>0.04591</cdr:y>
    </cdr:to>
    <cdr:sp macro="" textlink="">
      <cdr:nvSpPr>
        <cdr:cNvPr id="3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685391" cy="2227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ERCOT Peak (15 min) = 21,394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43</xdr:row>
      <xdr:rowOff>57150</xdr:rowOff>
    </xdr:from>
    <xdr:to>
      <xdr:col>10</xdr:col>
      <xdr:colOff>9525</xdr:colOff>
      <xdr:row>80</xdr:row>
      <xdr:rowOff>38100</xdr:rowOff>
    </xdr:to>
    <xdr:graphicFrame macro="">
      <xdr:nvGraphicFramePr>
        <xdr:cNvPr id="6923941" name="Chart 1">
          <a:extLst>
            <a:ext uri="{FF2B5EF4-FFF2-40B4-BE49-F238E27FC236}">
              <a16:creationId xmlns:a16="http://schemas.microsoft.com/office/drawing/2014/main" id="{209E67F0-8EB6-B6EB-841B-B72F37038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43</xdr:row>
      <xdr:rowOff>57150</xdr:rowOff>
    </xdr:from>
    <xdr:to>
      <xdr:col>19</xdr:col>
      <xdr:colOff>142875</xdr:colOff>
      <xdr:row>81</xdr:row>
      <xdr:rowOff>9525</xdr:rowOff>
    </xdr:to>
    <xdr:graphicFrame macro="">
      <xdr:nvGraphicFramePr>
        <xdr:cNvPr id="6923942" name="Chart 2">
          <a:extLst>
            <a:ext uri="{FF2B5EF4-FFF2-40B4-BE49-F238E27FC236}">
              <a16:creationId xmlns:a16="http://schemas.microsoft.com/office/drawing/2014/main" id="{BA1FF903-EB25-C656-1913-17AE50C07E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0.69935</cdr:x>
      <cdr:y>0.38609</cdr:y>
    </cdr:from>
    <cdr:to>
      <cdr:x>0.69935</cdr:x>
      <cdr:y>0.38609</cdr:y>
    </cdr:to>
    <cdr:sp macro="" textlink="">
      <cdr:nvSpPr>
        <cdr:cNvPr id="143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05191" y="20842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 (K=0.0)</a:t>
          </a:r>
        </a:p>
      </cdr:txBody>
    </cdr:sp>
  </cdr:relSizeAnchor>
  <cdr:relSizeAnchor xmlns:cdr="http://schemas.openxmlformats.org/drawingml/2006/chartDrawing">
    <cdr:from>
      <cdr:x>0.83721</cdr:x>
      <cdr:y>0.47311</cdr:y>
    </cdr:from>
    <cdr:to>
      <cdr:x>0.83721</cdr:x>
      <cdr:y>0.47311</cdr:y>
    </cdr:to>
    <cdr:sp macro="" textlink="">
      <cdr:nvSpPr>
        <cdr:cNvPr id="143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82906" y="30333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0.34136</cdr:x>
      <cdr:y>0.41067</cdr:y>
    </cdr:from>
    <cdr:to>
      <cdr:x>0.34136</cdr:x>
      <cdr:y>0.41067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8432" y="234427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(%)</a:t>
          </a:r>
        </a:p>
      </cdr:txBody>
    </cdr:sp>
  </cdr:relSizeAnchor>
  <cdr:relSizeAnchor xmlns:cdr="http://schemas.openxmlformats.org/drawingml/2006/chartDrawing">
    <cdr:from>
      <cdr:x>0.30878</cdr:x>
      <cdr:y>0.49424</cdr:y>
    </cdr:from>
    <cdr:to>
      <cdr:x>0.30878</cdr:x>
      <cdr:y>0.49424</cdr:y>
    </cdr:to>
    <cdr:sp macro="" textlink="">
      <cdr:nvSpPr>
        <cdr:cNvPr id="143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8607" y="328164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Best Fit (K=0.8)</a:t>
          </a:r>
        </a:p>
      </cdr:txBody>
    </cdr:sp>
  </cdr:relSizeAnchor>
  <cdr:relSizeAnchor xmlns:cdr="http://schemas.openxmlformats.org/drawingml/2006/chartDrawing">
    <cdr:from>
      <cdr:x>0.82014</cdr:x>
      <cdr:y>0.47064</cdr:y>
    </cdr:from>
    <cdr:to>
      <cdr:x>0.82014</cdr:x>
      <cdr:y>0.47064</cdr:y>
    </cdr:to>
    <cdr:sp macro="" textlink="">
      <cdr:nvSpPr>
        <cdr:cNvPr id="1434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3654" y="303333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Flat Line (K=1.0)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0.65937</cdr:x>
      <cdr:y>0.60562</cdr:y>
    </cdr:from>
    <cdr:to>
      <cdr:x>0.65937</cdr:x>
      <cdr:y>0.60562</cdr:y>
    </cdr:to>
    <cdr:sp macro="" textlink="">
      <cdr:nvSpPr>
        <cdr:cNvPr id="153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5802" y="479135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Total Losses Curve (MW)</a:t>
          </a:r>
        </a:p>
      </cdr:txBody>
    </cdr:sp>
  </cdr:relSizeAnchor>
  <cdr:relSizeAnchor xmlns:cdr="http://schemas.openxmlformats.org/drawingml/2006/chartDrawing">
    <cdr:from>
      <cdr:x>0.72936</cdr:x>
      <cdr:y>0.61025</cdr:y>
    </cdr:from>
    <cdr:to>
      <cdr:x>0.72936</cdr:x>
      <cdr:y>0.61025</cdr:y>
    </cdr:to>
    <cdr:sp macro="" textlink="">
      <cdr:nvSpPr>
        <cdr:cNvPr id="153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24451" y="48288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Tangent Line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41"/>
  <sheetViews>
    <sheetView tabSelected="1" topLeftCell="A14" zoomScaleNormal="100" workbookViewId="0">
      <selection activeCell="E52" sqref="E52"/>
    </sheetView>
  </sheetViews>
  <sheetFormatPr defaultRowHeight="12.75" x14ac:dyDescent="0.2"/>
  <cols>
    <col min="1" max="4" width="13.5703125" customWidth="1"/>
    <col min="5" max="5" width="12.28515625" customWidth="1"/>
    <col min="6" max="6" width="12.42578125" customWidth="1"/>
    <col min="7" max="7" width="14.28515625" customWidth="1"/>
    <col min="8" max="8" width="10.42578125" customWidth="1"/>
    <col min="9" max="9" width="13.28515625" customWidth="1"/>
    <col min="10" max="10" width="14.5703125" customWidth="1"/>
    <col min="11" max="11" width="10.28515625" customWidth="1"/>
    <col min="12" max="12" width="13.7109375" customWidth="1"/>
    <col min="13" max="14" width="11.42578125" customWidth="1"/>
  </cols>
  <sheetData>
    <row r="1" spans="1:19" ht="18" x14ac:dyDescent="0.25">
      <c r="A1" s="435" t="s">
        <v>0</v>
      </c>
      <c r="B1" s="435"/>
      <c r="C1" s="435"/>
      <c r="D1" s="435"/>
      <c r="E1" s="435"/>
      <c r="F1" s="354">
        <v>2024</v>
      </c>
      <c r="G1" s="168"/>
      <c r="H1" s="168"/>
      <c r="O1" s="5"/>
      <c r="Q1" s="5"/>
    </row>
    <row r="2" spans="1:19" ht="15" customHeight="1" x14ac:dyDescent="0.25">
      <c r="C2" s="75"/>
      <c r="P2" s="432"/>
      <c r="Q2" s="432"/>
      <c r="R2" s="432"/>
      <c r="S2" s="432"/>
    </row>
    <row r="3" spans="1:19" ht="15" x14ac:dyDescent="0.25">
      <c r="A3" s="122"/>
      <c r="B3" s="436"/>
      <c r="C3" s="436"/>
      <c r="D3" s="436"/>
      <c r="E3" s="436"/>
      <c r="P3" s="432"/>
      <c r="Q3" s="431"/>
      <c r="R3" s="431"/>
      <c r="S3" s="431"/>
    </row>
    <row r="5" spans="1:19" ht="15" x14ac:dyDescent="0.25">
      <c r="A5" s="437" t="s">
        <v>1</v>
      </c>
      <c r="B5" s="437"/>
      <c r="C5" s="437"/>
      <c r="D5" s="437"/>
      <c r="E5" s="437"/>
    </row>
    <row r="6" spans="1:19" x14ac:dyDescent="0.2">
      <c r="A6" s="427" t="s">
        <v>2</v>
      </c>
      <c r="B6" s="427"/>
      <c r="C6" s="427"/>
      <c r="D6" s="427"/>
      <c r="E6" s="427"/>
      <c r="F6" s="427"/>
      <c r="G6" s="427"/>
      <c r="H6" s="427"/>
      <c r="I6" s="427"/>
      <c r="J6" s="427"/>
    </row>
    <row r="7" spans="1:19" x14ac:dyDescent="0.2">
      <c r="A7" s="427" t="s">
        <v>3</v>
      </c>
      <c r="B7" s="427"/>
      <c r="C7" s="427"/>
      <c r="D7" s="427"/>
      <c r="E7" s="427"/>
      <c r="F7" s="427"/>
      <c r="G7" s="427"/>
      <c r="H7" s="427"/>
      <c r="I7" s="427"/>
      <c r="J7" s="427"/>
    </row>
    <row r="8" spans="1:19" x14ac:dyDescent="0.2">
      <c r="A8" s="427" t="s">
        <v>4</v>
      </c>
      <c r="B8" s="427"/>
      <c r="C8" s="427"/>
      <c r="D8" s="427"/>
      <c r="E8" s="427"/>
      <c r="F8" s="3"/>
      <c r="G8" s="3"/>
      <c r="H8" s="3"/>
      <c r="I8" s="3"/>
      <c r="J8" s="3"/>
    </row>
    <row r="10" spans="1:19" x14ac:dyDescent="0.2">
      <c r="A10" s="427" t="s">
        <v>5</v>
      </c>
      <c r="B10" s="427"/>
      <c r="C10" s="427"/>
      <c r="D10" s="427"/>
      <c r="E10" s="427"/>
      <c r="F10" s="427"/>
      <c r="G10" s="427"/>
      <c r="H10" s="427"/>
      <c r="I10" s="427"/>
      <c r="J10" s="427"/>
    </row>
    <row r="11" spans="1:19" x14ac:dyDescent="0.2">
      <c r="A11" s="427" t="s">
        <v>6</v>
      </c>
      <c r="B11" s="427"/>
      <c r="C11" s="427"/>
      <c r="D11" s="427"/>
      <c r="E11" s="427"/>
      <c r="F11" s="427"/>
      <c r="G11" s="427"/>
      <c r="H11" s="427"/>
      <c r="I11" s="427"/>
      <c r="J11" s="427"/>
    </row>
    <row r="12" spans="1:19" x14ac:dyDescent="0.2">
      <c r="A12" s="427" t="s">
        <v>7</v>
      </c>
      <c r="B12" s="427"/>
    </row>
    <row r="14" spans="1:19" x14ac:dyDescent="0.2">
      <c r="B14" s="425" t="s">
        <v>8</v>
      </c>
      <c r="C14" s="425"/>
      <c r="D14" s="425"/>
      <c r="E14" s="425"/>
    </row>
    <row r="15" spans="1:19" x14ac:dyDescent="0.2">
      <c r="A15" t="s">
        <v>9</v>
      </c>
    </row>
    <row r="16" spans="1:19" x14ac:dyDescent="0.2">
      <c r="B16" s="426" t="s">
        <v>10</v>
      </c>
      <c r="C16" s="426"/>
    </row>
    <row r="17" spans="1:11" x14ac:dyDescent="0.2">
      <c r="B17" s="426" t="s">
        <v>11</v>
      </c>
      <c r="C17" s="426"/>
      <c r="D17" s="426"/>
      <c r="E17" s="426"/>
    </row>
    <row r="18" spans="1:11" x14ac:dyDescent="0.2">
      <c r="B18" s="426" t="s">
        <v>12</v>
      </c>
      <c r="C18" s="426"/>
      <c r="D18" s="426"/>
      <c r="E18" s="426"/>
    </row>
    <row r="19" spans="1:11" x14ac:dyDescent="0.2">
      <c r="B19" s="426" t="s">
        <v>13</v>
      </c>
      <c r="C19" s="426"/>
      <c r="D19" s="426"/>
      <c r="E19" s="426"/>
      <c r="F19" s="426"/>
      <c r="G19" s="426"/>
    </row>
    <row r="20" spans="1:11" x14ac:dyDescent="0.2">
      <c r="B20" s="426" t="s">
        <v>14</v>
      </c>
      <c r="C20" s="426"/>
      <c r="D20" s="426"/>
      <c r="E20" s="426"/>
      <c r="F20" s="426"/>
      <c r="G20" s="426"/>
      <c r="H20" s="426"/>
    </row>
    <row r="21" spans="1:11" x14ac:dyDescent="0.2">
      <c r="B21" s="427" t="s">
        <v>15</v>
      </c>
      <c r="C21" s="427"/>
      <c r="D21" s="427"/>
      <c r="E21" s="427"/>
      <c r="F21" s="427"/>
      <c r="G21" s="427"/>
      <c r="H21" s="427"/>
      <c r="I21" s="427"/>
      <c r="J21" s="427"/>
      <c r="K21" s="427"/>
    </row>
    <row r="22" spans="1:11" x14ac:dyDescent="0.2">
      <c r="B22" s="428" t="s">
        <v>16</v>
      </c>
      <c r="C22" s="428"/>
      <c r="D22" s="428"/>
      <c r="E22" s="3"/>
      <c r="F22" s="3"/>
      <c r="G22" s="3"/>
      <c r="H22" s="3"/>
      <c r="I22" s="3"/>
      <c r="J22" s="3"/>
      <c r="K22" s="3"/>
    </row>
    <row r="23" spans="1:11" x14ac:dyDescent="0.2">
      <c r="B23" s="423" t="s">
        <v>17</v>
      </c>
      <c r="C23" s="423"/>
      <c r="D23" s="423"/>
      <c r="E23" s="3"/>
      <c r="F23" s="3"/>
      <c r="G23" s="3"/>
      <c r="H23" s="3"/>
      <c r="I23" s="3"/>
      <c r="J23" s="3"/>
      <c r="K23" s="3"/>
    </row>
    <row r="24" spans="1:11" x14ac:dyDescent="0.2">
      <c r="B24" s="423" t="s">
        <v>18</v>
      </c>
      <c r="C24" s="423"/>
      <c r="D24" s="423"/>
      <c r="E24" s="3"/>
      <c r="F24" s="3"/>
      <c r="G24" s="3"/>
      <c r="H24" s="3"/>
      <c r="I24" s="3"/>
      <c r="J24" s="3"/>
      <c r="K24" s="3"/>
    </row>
    <row r="25" spans="1:11" x14ac:dyDescent="0.2">
      <c r="B25" s="423" t="s">
        <v>19</v>
      </c>
      <c r="C25" s="423"/>
      <c r="D25" s="423"/>
      <c r="E25" s="3"/>
      <c r="F25" s="3"/>
      <c r="G25" s="3"/>
      <c r="H25" s="3"/>
      <c r="I25" s="3"/>
      <c r="J25" s="3"/>
      <c r="K25" s="3"/>
    </row>
    <row r="26" spans="1:11" x14ac:dyDescent="0.2">
      <c r="B26" s="423" t="s">
        <v>20</v>
      </c>
      <c r="C26" s="423"/>
      <c r="D26" s="423"/>
    </row>
    <row r="27" spans="1:11" ht="15" x14ac:dyDescent="0.25">
      <c r="A27" s="122"/>
      <c r="B27" s="423" t="s">
        <v>21</v>
      </c>
      <c r="C27" s="423"/>
      <c r="D27" s="423"/>
    </row>
    <row r="28" spans="1:11" ht="15" x14ac:dyDescent="0.25">
      <c r="A28" s="122"/>
      <c r="B28" s="423" t="s">
        <v>22</v>
      </c>
      <c r="C28" s="423"/>
      <c r="D28" s="423"/>
    </row>
    <row r="29" spans="1:11" ht="15" x14ac:dyDescent="0.25">
      <c r="A29" s="122"/>
      <c r="B29" s="424" t="s">
        <v>23</v>
      </c>
      <c r="C29" s="424"/>
      <c r="D29" s="424"/>
    </row>
    <row r="30" spans="1:11" x14ac:dyDescent="0.2">
      <c r="B30" s="424" t="s">
        <v>24</v>
      </c>
      <c r="C30" s="424"/>
      <c r="D30" s="424"/>
    </row>
    <row r="31" spans="1:11" ht="15" x14ac:dyDescent="0.25">
      <c r="A31" s="122"/>
      <c r="B31" s="424" t="s">
        <v>25</v>
      </c>
      <c r="C31" s="424"/>
      <c r="D31" s="424"/>
    </row>
    <row r="32" spans="1:11" x14ac:dyDescent="0.2">
      <c r="B32" s="423" t="s">
        <v>26</v>
      </c>
      <c r="C32" s="423"/>
      <c r="D32" s="423"/>
    </row>
    <row r="33" spans="1:9" ht="14.25" x14ac:dyDescent="0.2">
      <c r="A33" s="125" t="s">
        <v>27</v>
      </c>
      <c r="B33" s="423" t="s">
        <v>28</v>
      </c>
      <c r="C33" s="423"/>
      <c r="D33" s="423"/>
    </row>
    <row r="34" spans="1:9" x14ac:dyDescent="0.2">
      <c r="B34" s="423" t="s">
        <v>29</v>
      </c>
      <c r="C34" s="423"/>
      <c r="D34" s="423"/>
    </row>
    <row r="35" spans="1:9" x14ac:dyDescent="0.2">
      <c r="B35" s="423" t="s">
        <v>30</v>
      </c>
      <c r="C35" s="423"/>
      <c r="D35" s="423"/>
    </row>
    <row r="36" spans="1:9" ht="15" x14ac:dyDescent="0.25">
      <c r="A36" s="397" t="s">
        <v>31</v>
      </c>
      <c r="B36" s="5"/>
    </row>
    <row r="37" spans="1:9" ht="14.1" customHeight="1" x14ac:dyDescent="0.2">
      <c r="A37" s="431" t="s">
        <v>32</v>
      </c>
      <c r="B37" s="431"/>
      <c r="C37" s="431"/>
      <c r="D37" s="431"/>
      <c r="E37" s="431"/>
      <c r="F37" s="431"/>
    </row>
    <row r="38" spans="1:9" x14ac:dyDescent="0.2">
      <c r="A38" s="431" t="s">
        <v>33</v>
      </c>
      <c r="B38" s="431"/>
      <c r="C38" s="431"/>
      <c r="D38" s="431"/>
      <c r="E38" s="431"/>
      <c r="F38" s="3"/>
      <c r="G38" s="3"/>
      <c r="H38" s="3"/>
      <c r="I38" s="3"/>
    </row>
    <row r="39" spans="1:9" x14ac:dyDescent="0.2">
      <c r="A39" s="431" t="s">
        <v>34</v>
      </c>
      <c r="B39" s="431"/>
      <c r="C39" s="431"/>
      <c r="D39" s="431"/>
      <c r="E39" s="431"/>
      <c r="F39" s="431"/>
      <c r="G39" s="431"/>
      <c r="H39" s="431"/>
      <c r="I39" s="3"/>
    </row>
    <row r="40" spans="1:9" x14ac:dyDescent="0.2">
      <c r="A40" s="431" t="s">
        <v>35</v>
      </c>
      <c r="B40" s="431"/>
      <c r="C40" s="431"/>
      <c r="D40" s="431"/>
      <c r="E40" s="431"/>
      <c r="F40" s="431"/>
      <c r="G40" s="431"/>
      <c r="H40" s="431"/>
      <c r="I40" s="431"/>
    </row>
    <row r="41" spans="1:9" x14ac:dyDescent="0.2">
      <c r="A41" s="431" t="s">
        <v>36</v>
      </c>
      <c r="B41" s="431"/>
      <c r="C41" s="431"/>
      <c r="D41" s="431"/>
      <c r="E41" s="3"/>
      <c r="F41" s="3"/>
      <c r="G41" s="3"/>
      <c r="H41" s="3"/>
      <c r="I41" s="3"/>
    </row>
    <row r="42" spans="1:9" ht="11.25" customHeight="1" x14ac:dyDescent="0.2">
      <c r="B42" s="3"/>
      <c r="C42" s="3"/>
      <c r="D42" s="3"/>
    </row>
    <row r="43" spans="1:9" x14ac:dyDescent="0.2">
      <c r="A43" s="19" t="s">
        <v>37</v>
      </c>
    </row>
    <row r="45" spans="1:9" ht="15" x14ac:dyDescent="0.25">
      <c r="A45" s="333" t="s">
        <v>38</v>
      </c>
      <c r="C45" s="333">
        <f>'2) Loss Analysis'!S81</f>
        <v>2.1999999999999999E-2</v>
      </c>
      <c r="E45" s="97"/>
    </row>
    <row r="46" spans="1:9" ht="15" x14ac:dyDescent="0.25">
      <c r="A46" s="333" t="s">
        <v>39</v>
      </c>
      <c r="B46" s="333"/>
      <c r="C46" s="333">
        <f>'2) Loss Analysis'!S82</f>
        <v>-6.1500000000000001E-3</v>
      </c>
      <c r="E46" s="97"/>
    </row>
    <row r="47" spans="1:9" ht="15" x14ac:dyDescent="0.25">
      <c r="A47" s="333" t="s">
        <v>40</v>
      </c>
      <c r="B47" s="333"/>
      <c r="C47" s="333">
        <f>'2) Loss Analysis'!S83</f>
        <v>2.384E-2</v>
      </c>
      <c r="E47" s="97"/>
    </row>
    <row r="48" spans="1:9" ht="15" x14ac:dyDescent="0.25">
      <c r="A48" s="397" t="s">
        <v>41</v>
      </c>
      <c r="B48" s="333"/>
      <c r="C48" s="337">
        <f>C55</f>
        <v>12450</v>
      </c>
    </row>
    <row r="49" spans="1:8" ht="15" x14ac:dyDescent="0.25">
      <c r="B49" s="397"/>
    </row>
    <row r="50" spans="1:8" x14ac:dyDescent="0.2">
      <c r="A50" s="19" t="s">
        <v>42</v>
      </c>
      <c r="C50" s="5"/>
    </row>
    <row r="51" spans="1:8" x14ac:dyDescent="0.2">
      <c r="C51" s="5"/>
    </row>
    <row r="52" spans="1:8" ht="15" x14ac:dyDescent="0.25">
      <c r="A52" s="333" t="s">
        <v>38</v>
      </c>
      <c r="C52" s="333">
        <f>'2) Loss Analysis'!S73</f>
        <v>1.61E-2</v>
      </c>
      <c r="E52" s="97"/>
    </row>
    <row r="53" spans="1:8" ht="15" x14ac:dyDescent="0.25">
      <c r="A53" s="333" t="s">
        <v>39</v>
      </c>
      <c r="B53" s="333"/>
      <c r="C53" s="333">
        <f>'2) Loss Analysis'!S74</f>
        <v>-5.1000000000000004E-3</v>
      </c>
      <c r="E53" s="97"/>
    </row>
    <row r="54" spans="1:8" ht="15" x14ac:dyDescent="0.25">
      <c r="A54" s="333" t="s">
        <v>40</v>
      </c>
      <c r="B54" s="333"/>
      <c r="C54" s="333">
        <f>'2) Loss Analysis'!S75</f>
        <v>2.3749999999999999E-3</v>
      </c>
      <c r="E54" s="97"/>
    </row>
    <row r="55" spans="1:8" ht="15" x14ac:dyDescent="0.25">
      <c r="A55" s="397" t="s">
        <v>41</v>
      </c>
      <c r="B55" s="333"/>
      <c r="C55" s="337">
        <f>F70</f>
        <v>12450</v>
      </c>
    </row>
    <row r="56" spans="1:8" ht="15" x14ac:dyDescent="0.25">
      <c r="B56" s="397"/>
    </row>
    <row r="57" spans="1:8" x14ac:dyDescent="0.2">
      <c r="A57" s="19" t="s">
        <v>43</v>
      </c>
    </row>
    <row r="58" spans="1:8" x14ac:dyDescent="0.2">
      <c r="A58" s="81" t="s">
        <v>44</v>
      </c>
    </row>
    <row r="59" spans="1:8" x14ac:dyDescent="0.2">
      <c r="A59" s="81" t="s">
        <v>45</v>
      </c>
      <c r="B59" s="81"/>
      <c r="C59" s="81"/>
      <c r="D59" s="81"/>
      <c r="E59" s="81"/>
      <c r="F59" s="81"/>
      <c r="G59" s="81"/>
    </row>
    <row r="60" spans="1:8" x14ac:dyDescent="0.2">
      <c r="B60" s="81"/>
      <c r="C60" s="81"/>
      <c r="D60" s="81"/>
      <c r="H60" s="5"/>
    </row>
    <row r="61" spans="1:8" x14ac:dyDescent="0.2">
      <c r="B61" s="19"/>
      <c r="C61" s="430" t="s">
        <v>46</v>
      </c>
      <c r="D61" s="430"/>
      <c r="H61" s="5"/>
    </row>
    <row r="62" spans="1:8" x14ac:dyDescent="0.2">
      <c r="C62" s="107" t="s">
        <v>47</v>
      </c>
      <c r="D62" s="107" t="s">
        <v>48</v>
      </c>
      <c r="H62" s="5"/>
    </row>
    <row r="63" spans="1:8" x14ac:dyDescent="0.2">
      <c r="A63" s="81" t="s">
        <v>49</v>
      </c>
      <c r="C63" s="338">
        <f>F67/F68</f>
        <v>2.1285198555956679</v>
      </c>
      <c r="D63" s="338">
        <f>F69/F70</f>
        <v>1.7184538152610442</v>
      </c>
    </row>
    <row r="64" spans="1:8" x14ac:dyDescent="0.2">
      <c r="A64" s="81"/>
      <c r="C64" s="338"/>
      <c r="D64" s="338"/>
    </row>
    <row r="65" spans="1:7" ht="15" x14ac:dyDescent="0.25">
      <c r="A65" s="400" t="s">
        <v>50</v>
      </c>
      <c r="B65" s="400"/>
      <c r="C65" s="401"/>
      <c r="D65" s="402" t="s">
        <v>51</v>
      </c>
      <c r="E65" s="403"/>
      <c r="F65" s="433" t="s">
        <v>52</v>
      </c>
      <c r="G65" s="434"/>
    </row>
    <row r="66" spans="1:7" x14ac:dyDescent="0.2">
      <c r="A66" s="287"/>
      <c r="B66" s="288" t="s">
        <v>53</v>
      </c>
      <c r="C66" s="288" t="s">
        <v>54</v>
      </c>
      <c r="D66" s="359" t="s">
        <v>53</v>
      </c>
      <c r="E66" s="359" t="s">
        <v>54</v>
      </c>
      <c r="F66" s="288" t="s">
        <v>53</v>
      </c>
      <c r="G66" s="288" t="s">
        <v>54</v>
      </c>
    </row>
    <row r="67" spans="1:7" x14ac:dyDescent="0.2">
      <c r="A67" s="289" t="s">
        <v>55</v>
      </c>
      <c r="B67" s="290">
        <f>C67/4</f>
        <v>3835</v>
      </c>
      <c r="C67" s="291">
        <v>15340</v>
      </c>
      <c r="D67" s="290">
        <f>E67/4</f>
        <v>4110.5</v>
      </c>
      <c r="E67" s="291">
        <v>16442</v>
      </c>
      <c r="F67" s="267">
        <f>G67/4</f>
        <v>4422</v>
      </c>
      <c r="G67" s="296">
        <v>17688</v>
      </c>
    </row>
    <row r="68" spans="1:7" x14ac:dyDescent="0.2">
      <c r="A68" s="289" t="s">
        <v>56</v>
      </c>
      <c r="B68" s="290">
        <f>C68/4</f>
        <v>1917</v>
      </c>
      <c r="C68" s="291">
        <v>7668</v>
      </c>
      <c r="D68" s="290">
        <f>E68/4</f>
        <v>2043.25</v>
      </c>
      <c r="E68" s="291">
        <v>8173</v>
      </c>
      <c r="F68" s="267">
        <f>G68/4</f>
        <v>2077.5</v>
      </c>
      <c r="G68" s="296">
        <v>8310</v>
      </c>
    </row>
    <row r="69" spans="1:7" x14ac:dyDescent="0.2">
      <c r="A69" s="289" t="s">
        <v>57</v>
      </c>
      <c r="B69" s="290">
        <f>C69/4</f>
        <v>18446.5</v>
      </c>
      <c r="C69" s="291">
        <v>73786</v>
      </c>
      <c r="D69" s="290">
        <f>E69/4</f>
        <v>20058.25</v>
      </c>
      <c r="E69" s="291">
        <v>80233</v>
      </c>
      <c r="F69" s="267">
        <f>G69/4</f>
        <v>21394.75</v>
      </c>
      <c r="G69" s="296">
        <v>85579</v>
      </c>
    </row>
    <row r="70" spans="1:7" x14ac:dyDescent="0.2">
      <c r="A70" s="292" t="s">
        <v>58</v>
      </c>
      <c r="B70" s="293">
        <v>11048</v>
      </c>
      <c r="C70" s="294">
        <f>B70*4</f>
        <v>44192</v>
      </c>
      <c r="D70" s="293">
        <v>12069</v>
      </c>
      <c r="E70" s="294">
        <f>D70*4</f>
        <v>48276</v>
      </c>
      <c r="F70" s="268">
        <v>12450</v>
      </c>
      <c r="G70" s="297">
        <f>F70*4</f>
        <v>49800</v>
      </c>
    </row>
    <row r="71" spans="1:7" x14ac:dyDescent="0.2">
      <c r="A71" s="1"/>
      <c r="B71" s="1"/>
      <c r="C71" s="5"/>
      <c r="D71" s="87"/>
    </row>
    <row r="72" spans="1:7" x14ac:dyDescent="0.2">
      <c r="A72" s="81" t="s">
        <v>59</v>
      </c>
    </row>
    <row r="73" spans="1:7" x14ac:dyDescent="0.2">
      <c r="A73" s="5" t="s">
        <v>60</v>
      </c>
    </row>
    <row r="75" spans="1:7" ht="15" x14ac:dyDescent="0.25">
      <c r="A75" s="76" t="s">
        <v>61</v>
      </c>
    </row>
    <row r="76" spans="1:7" x14ac:dyDescent="0.2">
      <c r="A76" t="s">
        <v>62</v>
      </c>
    </row>
    <row r="77" spans="1:7" x14ac:dyDescent="0.2">
      <c r="A77" t="s">
        <v>63</v>
      </c>
    </row>
    <row r="78" spans="1:7" x14ac:dyDescent="0.2">
      <c r="A78" s="5" t="s">
        <v>64</v>
      </c>
    </row>
    <row r="80" spans="1:7" ht="14.25" x14ac:dyDescent="0.2">
      <c r="C80" s="74" t="s">
        <v>65</v>
      </c>
      <c r="D80" s="1" t="s">
        <v>66</v>
      </c>
    </row>
    <row r="81" spans="1:12" x14ac:dyDescent="0.2">
      <c r="D81" s="1" t="s">
        <v>67</v>
      </c>
    </row>
    <row r="82" spans="1:12" x14ac:dyDescent="0.2">
      <c r="D82" s="1" t="s">
        <v>68</v>
      </c>
    </row>
    <row r="83" spans="1:12" x14ac:dyDescent="0.2">
      <c r="D83" s="83" t="s">
        <v>69</v>
      </c>
    </row>
    <row r="85" spans="1:12" ht="15" customHeight="1" x14ac:dyDescent="0.2">
      <c r="B85" s="88" t="s">
        <v>70</v>
      </c>
      <c r="C85" s="88"/>
      <c r="D85" s="88"/>
      <c r="E85" s="88"/>
      <c r="F85" s="88"/>
      <c r="G85" s="88"/>
      <c r="H85" s="88"/>
      <c r="I85" s="3"/>
    </row>
    <row r="86" spans="1:12" ht="15" customHeight="1" x14ac:dyDescent="0.2">
      <c r="B86" s="1"/>
    </row>
    <row r="87" spans="1:12" x14ac:dyDescent="0.2">
      <c r="A87" s="88" t="s">
        <v>71</v>
      </c>
      <c r="B87" s="88"/>
      <c r="C87" s="88"/>
      <c r="D87" s="88"/>
      <c r="E87" s="88"/>
      <c r="F87" s="88"/>
      <c r="G87" s="88"/>
      <c r="H87" s="88"/>
      <c r="I87" s="81">
        <f>F1</f>
        <v>2024</v>
      </c>
    </row>
    <row r="88" spans="1:12" x14ac:dyDescent="0.2">
      <c r="B88" s="3" t="s">
        <v>72</v>
      </c>
      <c r="C88" s="3"/>
      <c r="D88" s="3"/>
      <c r="E88" s="3"/>
      <c r="F88" s="3"/>
      <c r="G88" s="3"/>
      <c r="H88" s="3"/>
      <c r="I88" s="3"/>
      <c r="J88" s="3"/>
    </row>
    <row r="89" spans="1:12" x14ac:dyDescent="0.2">
      <c r="B89" s="3" t="s">
        <v>73</v>
      </c>
      <c r="C89" s="3"/>
      <c r="D89" s="3"/>
      <c r="E89" s="3"/>
      <c r="F89" s="3"/>
      <c r="G89" s="3"/>
      <c r="H89" s="3"/>
      <c r="I89" s="3"/>
      <c r="J89" s="3"/>
    </row>
    <row r="90" spans="1:12" x14ac:dyDescent="0.2">
      <c r="B90" s="429" t="s">
        <v>74</v>
      </c>
      <c r="C90" s="429"/>
      <c r="D90" s="73">
        <f>'3) Loss Equations'!E21</f>
        <v>18.835000000000001</v>
      </c>
      <c r="E90" s="5" t="s">
        <v>75</v>
      </c>
    </row>
    <row r="91" spans="1:12" x14ac:dyDescent="0.2">
      <c r="B91" s="81" t="s">
        <v>76</v>
      </c>
      <c r="C91" s="81"/>
      <c r="D91" s="81"/>
      <c r="E91" s="81"/>
      <c r="F91" s="81"/>
      <c r="G91" s="81"/>
      <c r="H91" s="81"/>
    </row>
    <row r="92" spans="1:12" ht="12.75" customHeight="1" x14ac:dyDescent="0.2">
      <c r="B92" s="5" t="s">
        <v>77</v>
      </c>
      <c r="C92" s="73">
        <f>'3) Loss Equations'!E22</f>
        <v>64.590999999999994</v>
      </c>
      <c r="D92" s="73" t="s">
        <v>78</v>
      </c>
      <c r="E92" s="73">
        <f>D90</f>
        <v>18.835000000000001</v>
      </c>
      <c r="F92" s="81" t="s">
        <v>79</v>
      </c>
      <c r="G92" s="167"/>
      <c r="H92" s="167"/>
      <c r="I92" s="167"/>
      <c r="J92" s="167"/>
    </row>
    <row r="93" spans="1:12" x14ac:dyDescent="0.2">
      <c r="B93" s="429" t="s">
        <v>80</v>
      </c>
      <c r="C93" s="429"/>
      <c r="D93" s="73">
        <f>'3) Loss Equations'!E21+'3) Loss Equations'!E22</f>
        <v>83.425999999999988</v>
      </c>
      <c r="E93" s="432" t="s">
        <v>81</v>
      </c>
      <c r="F93" s="432"/>
      <c r="G93" s="432"/>
      <c r="H93" s="432"/>
      <c r="I93" s="15">
        <f>'3) Loss Equations'!E24</f>
        <v>20710.400000000001</v>
      </c>
      <c r="J93" s="429" t="s">
        <v>82</v>
      </c>
      <c r="K93" s="429"/>
      <c r="L93" s="429"/>
    </row>
    <row r="94" spans="1:12" x14ac:dyDescent="0.2">
      <c r="B94" s="81" t="s">
        <v>83</v>
      </c>
      <c r="C94" s="81"/>
      <c r="D94" s="81"/>
      <c r="E94" s="81"/>
      <c r="F94" s="81"/>
      <c r="G94" s="81"/>
    </row>
    <row r="95" spans="1:12" x14ac:dyDescent="0.2">
      <c r="B95" s="81"/>
      <c r="C95" s="81"/>
      <c r="D95" s="81"/>
      <c r="E95" s="81"/>
      <c r="F95" s="81"/>
      <c r="G95" s="81"/>
    </row>
    <row r="96" spans="1:12" x14ac:dyDescent="0.2">
      <c r="A96" s="88" t="s">
        <v>84</v>
      </c>
      <c r="B96" s="88"/>
      <c r="C96" s="88"/>
      <c r="D96" s="88"/>
      <c r="E96" s="88"/>
      <c r="F96" s="88"/>
      <c r="G96" s="88"/>
      <c r="H96" s="1"/>
      <c r="I96" s="1"/>
      <c r="J96" s="1"/>
    </row>
    <row r="97" spans="1:10" x14ac:dyDescent="0.2">
      <c r="B97" s="81" t="s">
        <v>85</v>
      </c>
      <c r="C97" s="81"/>
      <c r="D97" s="81"/>
      <c r="E97" s="81"/>
      <c r="F97" s="81"/>
      <c r="G97" s="81"/>
      <c r="H97" s="81"/>
      <c r="I97" s="81"/>
      <c r="J97" s="81"/>
    </row>
    <row r="98" spans="1:10" x14ac:dyDescent="0.2">
      <c r="B98" s="3" t="s">
        <v>86</v>
      </c>
      <c r="C98" s="3"/>
      <c r="D98" s="3"/>
      <c r="E98" s="3"/>
      <c r="F98" s="3"/>
      <c r="G98" s="3"/>
      <c r="H98" s="3"/>
      <c r="I98" s="3"/>
    </row>
    <row r="99" spans="1:10" x14ac:dyDescent="0.2">
      <c r="B99" s="3" t="s">
        <v>87</v>
      </c>
      <c r="C99" s="3"/>
      <c r="D99" s="3"/>
      <c r="E99" s="3"/>
      <c r="F99" s="3"/>
      <c r="G99" s="3"/>
      <c r="H99" s="3"/>
      <c r="I99" s="3"/>
    </row>
    <row r="100" spans="1:10" x14ac:dyDescent="0.2">
      <c r="B100" s="3" t="s">
        <v>88</v>
      </c>
      <c r="C100" s="3"/>
      <c r="D100" s="3"/>
      <c r="E100" s="3"/>
      <c r="F100" s="3"/>
    </row>
    <row r="101" spans="1:10" x14ac:dyDescent="0.2">
      <c r="B101" s="73" t="s">
        <v>89</v>
      </c>
      <c r="C101" s="73">
        <f>F1</f>
        <v>2024</v>
      </c>
      <c r="D101" s="5" t="s">
        <v>90</v>
      </c>
      <c r="E101" s="5"/>
      <c r="F101" s="5"/>
    </row>
    <row r="102" spans="1:10" x14ac:dyDescent="0.2">
      <c r="B102" s="81"/>
      <c r="C102" s="81"/>
      <c r="D102" s="81"/>
      <c r="E102" s="81"/>
      <c r="F102" s="81"/>
    </row>
    <row r="103" spans="1:10" x14ac:dyDescent="0.2">
      <c r="A103" s="74" t="s">
        <v>91</v>
      </c>
      <c r="B103" s="74"/>
      <c r="C103" s="74"/>
      <c r="D103" s="74"/>
      <c r="E103" s="74"/>
      <c r="F103" s="74"/>
      <c r="G103" s="74"/>
      <c r="H103" s="74"/>
      <c r="I103" s="81">
        <f>F1</f>
        <v>2024</v>
      </c>
      <c r="J103" s="1"/>
    </row>
    <row r="104" spans="1:10" x14ac:dyDescent="0.2">
      <c r="A104" s="3"/>
      <c r="B104" s="3" t="s">
        <v>92</v>
      </c>
      <c r="C104" s="3"/>
      <c r="D104" s="3"/>
      <c r="E104" s="3"/>
      <c r="F104" s="3"/>
      <c r="G104" s="3"/>
      <c r="H104" s="3"/>
      <c r="I104" s="3"/>
    </row>
    <row r="105" spans="1:10" ht="13.5" customHeight="1" x14ac:dyDescent="0.2">
      <c r="A105" s="3"/>
      <c r="B105" s="3" t="s">
        <v>93</v>
      </c>
      <c r="C105" s="3"/>
      <c r="D105" s="3"/>
      <c r="E105" s="3"/>
      <c r="F105" s="3"/>
      <c r="G105" s="3"/>
      <c r="H105" s="3"/>
      <c r="I105" s="3"/>
    </row>
    <row r="106" spans="1:10" x14ac:dyDescent="0.2">
      <c r="A106" s="3"/>
      <c r="B106" s="3" t="s">
        <v>94</v>
      </c>
      <c r="C106" s="3"/>
      <c r="D106" s="3"/>
      <c r="E106" s="3"/>
      <c r="F106" s="3"/>
      <c r="G106" s="3"/>
      <c r="H106" s="3"/>
      <c r="I106" s="3"/>
      <c r="J106" s="3"/>
    </row>
    <row r="107" spans="1:10" x14ac:dyDescent="0.2">
      <c r="A107" s="3"/>
      <c r="B107" s="3" t="s">
        <v>95</v>
      </c>
      <c r="C107" s="3"/>
      <c r="D107" s="3"/>
      <c r="E107" s="3"/>
      <c r="F107" s="3"/>
      <c r="G107" s="3"/>
      <c r="H107" s="3"/>
      <c r="I107" s="3"/>
    </row>
    <row r="108" spans="1:10" x14ac:dyDescent="0.2">
      <c r="A108" s="3"/>
      <c r="B108" s="81" t="s">
        <v>96</v>
      </c>
      <c r="C108" s="81"/>
      <c r="D108" s="81"/>
      <c r="E108" s="81"/>
      <c r="F108" s="81"/>
      <c r="G108" s="81"/>
      <c r="H108" s="81"/>
      <c r="I108" s="81"/>
    </row>
    <row r="109" spans="1:10" x14ac:dyDescent="0.2">
      <c r="A109" s="3"/>
      <c r="B109" s="3" t="s">
        <v>97</v>
      </c>
      <c r="C109" s="3"/>
      <c r="D109" s="3"/>
      <c r="E109" s="3"/>
      <c r="F109" s="3"/>
      <c r="G109" s="3"/>
      <c r="H109" s="3"/>
      <c r="I109" s="3"/>
    </row>
    <row r="110" spans="1:10" x14ac:dyDescent="0.2">
      <c r="A110" s="3"/>
      <c r="B110" s="81" t="s">
        <v>98</v>
      </c>
      <c r="C110" s="81"/>
      <c r="D110" s="81"/>
      <c r="E110" s="81"/>
      <c r="F110" s="81"/>
      <c r="G110" s="81"/>
      <c r="H110" s="81"/>
      <c r="I110" s="81"/>
    </row>
    <row r="111" spans="1:10" x14ac:dyDescent="0.2">
      <c r="A111" s="3"/>
      <c r="B111" s="81" t="s">
        <v>99</v>
      </c>
      <c r="C111" s="81"/>
      <c r="D111" s="81"/>
      <c r="E111" s="81"/>
      <c r="F111" s="81"/>
      <c r="G111" s="81"/>
      <c r="H111" s="81"/>
      <c r="I111" s="81"/>
    </row>
    <row r="112" spans="1:10" x14ac:dyDescent="0.2">
      <c r="A112" s="3"/>
      <c r="B112" s="81" t="s">
        <v>100</v>
      </c>
      <c r="C112" s="81"/>
      <c r="D112" s="81"/>
      <c r="E112" s="81"/>
      <c r="F112" s="81"/>
      <c r="G112" s="81"/>
      <c r="H112" s="3"/>
      <c r="I112" s="3"/>
    </row>
    <row r="113" spans="1:10" x14ac:dyDescent="0.2">
      <c r="A113" s="88" t="s">
        <v>101</v>
      </c>
      <c r="B113" s="88"/>
      <c r="C113" s="88"/>
      <c r="D113" s="88"/>
      <c r="E113" s="88"/>
      <c r="F113" s="88"/>
      <c r="G113" s="88"/>
      <c r="H113" s="81">
        <f>F1</f>
        <v>2024</v>
      </c>
      <c r="I113" s="1"/>
      <c r="J113" s="1"/>
    </row>
    <row r="114" spans="1:10" x14ac:dyDescent="0.2">
      <c r="A114" s="3"/>
      <c r="B114" s="5" t="s">
        <v>102</v>
      </c>
    </row>
    <row r="115" spans="1:10" x14ac:dyDescent="0.2">
      <c r="A115" s="3"/>
    </row>
    <row r="116" spans="1:10" x14ac:dyDescent="0.2">
      <c r="A116" s="88" t="s">
        <v>103</v>
      </c>
      <c r="B116" s="88"/>
    </row>
    <row r="117" spans="1:10" x14ac:dyDescent="0.2">
      <c r="A117" s="3"/>
      <c r="B117" s="79" t="s">
        <v>104</v>
      </c>
      <c r="C117" s="79"/>
      <c r="D117" s="79"/>
      <c r="E117" s="79"/>
      <c r="F117" s="79"/>
      <c r="G117" s="79"/>
      <c r="H117" s="295">
        <f>F70</f>
        <v>12450</v>
      </c>
      <c r="I117" s="5" t="s">
        <v>105</v>
      </c>
      <c r="J117" s="5"/>
    </row>
    <row r="118" spans="1:10" x14ac:dyDescent="0.2">
      <c r="A118" s="3"/>
      <c r="B118" s="5"/>
    </row>
    <row r="119" spans="1:10" x14ac:dyDescent="0.2">
      <c r="A119" s="88" t="s">
        <v>106</v>
      </c>
      <c r="B119" s="88"/>
      <c r="C119" s="88"/>
    </row>
    <row r="120" spans="1:10" x14ac:dyDescent="0.2">
      <c r="A120" s="3"/>
    </row>
    <row r="121" spans="1:10" x14ac:dyDescent="0.2">
      <c r="A121" s="3" t="s">
        <v>107</v>
      </c>
      <c r="B121" s="3"/>
      <c r="C121" s="3"/>
      <c r="D121" s="3"/>
      <c r="E121" s="3"/>
      <c r="F121" s="3"/>
      <c r="G121" s="3"/>
      <c r="H121" s="3"/>
      <c r="I121" s="3"/>
      <c r="J121" s="3"/>
    </row>
    <row r="122" spans="1:10" x14ac:dyDescent="0.2">
      <c r="A122" s="3" t="s">
        <v>108</v>
      </c>
      <c r="B122" s="3"/>
      <c r="C122" s="3"/>
      <c r="D122" s="3"/>
      <c r="E122" s="3"/>
      <c r="F122" s="3"/>
      <c r="G122" s="3"/>
      <c r="H122" s="3"/>
      <c r="I122" s="3"/>
      <c r="J122" s="3"/>
    </row>
    <row r="123" spans="1:10" x14ac:dyDescent="0.2">
      <c r="A123" s="81" t="s">
        <v>109</v>
      </c>
      <c r="B123" s="81"/>
      <c r="C123" s="81"/>
      <c r="D123" s="81"/>
      <c r="E123" s="81"/>
      <c r="F123" s="81"/>
      <c r="G123" s="81"/>
      <c r="H123" s="81"/>
      <c r="I123" s="81"/>
      <c r="J123" s="81"/>
    </row>
    <row r="124" spans="1:10" x14ac:dyDescent="0.2">
      <c r="A124" s="81" t="s">
        <v>110</v>
      </c>
      <c r="B124" s="81"/>
      <c r="C124" s="81"/>
      <c r="D124" s="81"/>
      <c r="E124" s="81"/>
      <c r="F124" s="81"/>
      <c r="G124" s="81"/>
      <c r="H124" s="81"/>
      <c r="I124" s="81"/>
      <c r="J124" s="81"/>
    </row>
    <row r="125" spans="1:10" ht="12" customHeight="1" x14ac:dyDescent="0.2"/>
    <row r="126" spans="1:10" ht="15" x14ac:dyDescent="0.25">
      <c r="A126" s="399" t="s">
        <v>111</v>
      </c>
      <c r="B126" s="399"/>
      <c r="C126" s="245"/>
      <c r="D126" s="245"/>
      <c r="E126" s="245"/>
      <c r="F126" s="245"/>
      <c r="G126" s="245"/>
      <c r="H126" s="245"/>
      <c r="I126" s="245"/>
      <c r="J126" s="245"/>
    </row>
    <row r="127" spans="1:10" ht="15" x14ac:dyDescent="0.2">
      <c r="A127" s="398" t="s">
        <v>42</v>
      </c>
      <c r="B127" s="398"/>
      <c r="C127" s="300"/>
      <c r="D127" s="301">
        <v>2017</v>
      </c>
      <c r="E127" s="302">
        <v>2018</v>
      </c>
      <c r="F127" s="348">
        <v>2019</v>
      </c>
      <c r="G127" s="348">
        <v>2020</v>
      </c>
      <c r="H127" s="348">
        <v>2021</v>
      </c>
      <c r="I127" s="302">
        <v>2022</v>
      </c>
      <c r="J127" s="404" t="s">
        <v>112</v>
      </c>
    </row>
    <row r="128" spans="1:10" x14ac:dyDescent="0.2">
      <c r="A128" s="245"/>
      <c r="B128" s="245"/>
      <c r="C128" s="303" t="s">
        <v>113</v>
      </c>
      <c r="D128" s="304">
        <v>1.286E-2</v>
      </c>
      <c r="E128" s="304">
        <v>1.2999999999999999E-2</v>
      </c>
      <c r="F128" s="349">
        <v>1.2699999999999999E-2</v>
      </c>
      <c r="G128" s="349">
        <v>1.286E-2</v>
      </c>
      <c r="H128" s="349">
        <v>1.252E-2</v>
      </c>
      <c r="I128" s="304">
        <v>1.3339999999999999E-2</v>
      </c>
      <c r="J128" s="304">
        <v>1.338E-2</v>
      </c>
    </row>
    <row r="129" spans="1:13" x14ac:dyDescent="0.2">
      <c r="A129" s="305"/>
      <c r="B129" s="245"/>
      <c r="C129" s="306" t="s">
        <v>114</v>
      </c>
      <c r="D129" s="304">
        <v>2.1069999999999998E-2</v>
      </c>
      <c r="E129" s="304">
        <v>2.155E-2</v>
      </c>
      <c r="F129" s="349">
        <v>2.1569999999999999E-2</v>
      </c>
      <c r="G129" s="349">
        <v>2.18E-2</v>
      </c>
      <c r="H129" s="349">
        <v>2.1309999999999999E-2</v>
      </c>
      <c r="I129" s="304">
        <v>2.2620000000000001E-2</v>
      </c>
      <c r="J129" s="349">
        <v>2.3949999999999999E-2</v>
      </c>
    </row>
    <row r="130" spans="1:13" ht="14.25" x14ac:dyDescent="0.2">
      <c r="A130" s="305"/>
      <c r="B130" s="245"/>
      <c r="C130" s="300"/>
      <c r="D130" s="307"/>
      <c r="E130" s="308"/>
      <c r="F130" s="349"/>
      <c r="G130" s="349"/>
      <c r="H130" s="349"/>
      <c r="I130" s="308"/>
      <c r="J130" s="245"/>
    </row>
    <row r="131" spans="1:13" ht="15" x14ac:dyDescent="0.2">
      <c r="A131" s="396" t="s">
        <v>37</v>
      </c>
      <c r="B131" s="396"/>
      <c r="C131" s="396"/>
      <c r="D131" s="309">
        <v>2017</v>
      </c>
      <c r="E131" s="302">
        <v>2018</v>
      </c>
      <c r="F131" s="302">
        <v>2019</v>
      </c>
      <c r="G131" s="302">
        <v>2020</v>
      </c>
      <c r="H131" s="348">
        <v>2021</v>
      </c>
      <c r="I131" s="302">
        <v>2022</v>
      </c>
      <c r="J131" s="404" t="s">
        <v>112</v>
      </c>
    </row>
    <row r="132" spans="1:13" x14ac:dyDescent="0.2">
      <c r="A132" s="245"/>
      <c r="B132" s="245"/>
      <c r="C132" s="303" t="s">
        <v>113</v>
      </c>
      <c r="D132" s="304">
        <v>3.7909999999999999E-2</v>
      </c>
      <c r="E132" s="304">
        <v>3.8159999999999999E-2</v>
      </c>
      <c r="F132" s="349">
        <v>3.8379999999999997E-2</v>
      </c>
      <c r="G132" s="349">
        <v>3.8370000000000001E-2</v>
      </c>
      <c r="H132" s="349">
        <v>3.8699999999999998E-2</v>
      </c>
      <c r="I132" s="304">
        <v>3.8019999999999998E-2</v>
      </c>
      <c r="J132" s="349">
        <v>3.9690000000000003E-2</v>
      </c>
    </row>
    <row r="133" spans="1:13" x14ac:dyDescent="0.2">
      <c r="A133" s="305"/>
      <c r="B133" s="245"/>
      <c r="C133" s="306" t="s">
        <v>114</v>
      </c>
      <c r="D133" s="304">
        <v>4.2130000000000001E-2</v>
      </c>
      <c r="E133" s="304">
        <v>4.2590000000000003E-2</v>
      </c>
      <c r="F133" s="349">
        <v>4.2889999999999998E-2</v>
      </c>
      <c r="G133" s="349">
        <v>4.3029999999999999E-2</v>
      </c>
      <c r="H133" s="349">
        <v>4.24E-2</v>
      </c>
      <c r="I133" s="304">
        <v>4.367E-2</v>
      </c>
      <c r="J133" s="349">
        <v>4.5530000000000001E-2</v>
      </c>
    </row>
    <row r="134" spans="1:13" x14ac:dyDescent="0.2">
      <c r="A134" s="3"/>
    </row>
    <row r="135" spans="1:13" x14ac:dyDescent="0.2">
      <c r="A135" s="3"/>
    </row>
    <row r="136" spans="1:13" x14ac:dyDescent="0.2">
      <c r="A136" s="1" t="s">
        <v>115</v>
      </c>
    </row>
    <row r="137" spans="1:13" x14ac:dyDescent="0.2">
      <c r="A137" s="432" t="s">
        <v>116</v>
      </c>
      <c r="B137" s="432"/>
      <c r="C137" s="432"/>
      <c r="D137" s="432"/>
      <c r="E137" s="432"/>
      <c r="F137" s="432"/>
      <c r="G137" s="432"/>
      <c r="H137" s="432"/>
      <c r="I137" s="432"/>
      <c r="J137" s="5"/>
      <c r="K137" s="6"/>
      <c r="L137" s="6"/>
      <c r="M137" s="1"/>
    </row>
    <row r="138" spans="1:13" x14ac:dyDescent="0.2">
      <c r="A138" s="432" t="s">
        <v>117</v>
      </c>
      <c r="B138" s="432"/>
      <c r="C138" s="432"/>
      <c r="D138" s="432"/>
      <c r="E138" s="432"/>
      <c r="F138" s="432"/>
      <c r="G138" s="432"/>
      <c r="H138" s="432"/>
      <c r="I138" s="432"/>
      <c r="J138" s="432"/>
      <c r="K138" s="432"/>
      <c r="L138" s="141"/>
      <c r="M138" s="240"/>
    </row>
    <row r="139" spans="1:13" x14ac:dyDescent="0.2">
      <c r="F139" s="439"/>
      <c r="G139" s="439"/>
      <c r="H139" s="439"/>
      <c r="I139" s="439"/>
      <c r="J139" s="286"/>
      <c r="K139" s="141"/>
      <c r="L139" s="141"/>
      <c r="M139" s="240"/>
    </row>
    <row r="140" spans="1:13" x14ac:dyDescent="0.2">
      <c r="F140" s="438"/>
      <c r="G140" s="438"/>
      <c r="H140" s="438"/>
      <c r="I140" s="438"/>
      <c r="J140" s="438"/>
      <c r="K140" s="141"/>
      <c r="L140" s="141"/>
      <c r="M140" s="240"/>
    </row>
    <row r="141" spans="1:13" x14ac:dyDescent="0.2">
      <c r="G141" s="126"/>
    </row>
  </sheetData>
  <mergeCells count="47">
    <mergeCell ref="F140:J140"/>
    <mergeCell ref="B93:C93"/>
    <mergeCell ref="E93:H93"/>
    <mergeCell ref="J93:L93"/>
    <mergeCell ref="F139:I139"/>
    <mergeCell ref="A137:I137"/>
    <mergeCell ref="A138:K138"/>
    <mergeCell ref="A1:E1"/>
    <mergeCell ref="A6:J6"/>
    <mergeCell ref="A7:J7"/>
    <mergeCell ref="A8:E8"/>
    <mergeCell ref="A10:J10"/>
    <mergeCell ref="B3:E3"/>
    <mergeCell ref="A5:E5"/>
    <mergeCell ref="B90:C90"/>
    <mergeCell ref="C61:D61"/>
    <mergeCell ref="A38:E38"/>
    <mergeCell ref="P2:S2"/>
    <mergeCell ref="P3:S3"/>
    <mergeCell ref="B17:E17"/>
    <mergeCell ref="B18:E18"/>
    <mergeCell ref="B19:G19"/>
    <mergeCell ref="B20:H20"/>
    <mergeCell ref="A11:J11"/>
    <mergeCell ref="A37:F37"/>
    <mergeCell ref="A39:H39"/>
    <mergeCell ref="A41:D41"/>
    <mergeCell ref="A40:I40"/>
    <mergeCell ref="F65:G65"/>
    <mergeCell ref="A12:B12"/>
    <mergeCell ref="B14:E14"/>
    <mergeCell ref="B16:C16"/>
    <mergeCell ref="B27:D27"/>
    <mergeCell ref="B26:D26"/>
    <mergeCell ref="B25:D25"/>
    <mergeCell ref="B23:D23"/>
    <mergeCell ref="B21:K21"/>
    <mergeCell ref="B24:D24"/>
    <mergeCell ref="B22:D22"/>
    <mergeCell ref="B35:D35"/>
    <mergeCell ref="B32:D32"/>
    <mergeCell ref="B33:D33"/>
    <mergeCell ref="B34:D34"/>
    <mergeCell ref="B28:D28"/>
    <mergeCell ref="B29:D29"/>
    <mergeCell ref="B30:D30"/>
    <mergeCell ref="B31:D31"/>
  </mergeCells>
  <phoneticPr fontId="13" type="noConversion"/>
  <pageMargins left="0.75" right="0.75" top="0.75" bottom="0.75" header="0" footer="0"/>
  <pageSetup scale="6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6"/>
  <sheetViews>
    <sheetView zoomScale="75" workbookViewId="0"/>
  </sheetViews>
  <sheetFormatPr defaultRowHeight="12.75" x14ac:dyDescent="0.2"/>
  <cols>
    <col min="1" max="1" width="7.7109375" style="2" customWidth="1"/>
    <col min="2" max="2" width="12" style="2" customWidth="1"/>
    <col min="3" max="10" width="14.7109375" customWidth="1"/>
    <col min="11" max="11" width="14.5703125" style="2" customWidth="1"/>
    <col min="12" max="12" width="15.140625" customWidth="1"/>
    <col min="13" max="13" width="14.7109375" customWidth="1"/>
  </cols>
  <sheetData>
    <row r="1" spans="1:21" ht="15.75" x14ac:dyDescent="0.25">
      <c r="A1" s="43" t="s">
        <v>118</v>
      </c>
      <c r="F1" s="45" t="s">
        <v>119</v>
      </c>
    </row>
    <row r="2" spans="1:21" ht="15.75" x14ac:dyDescent="0.25">
      <c r="A2" s="43"/>
      <c r="F2" s="45"/>
    </row>
    <row r="3" spans="1:21" x14ac:dyDescent="0.2">
      <c r="C3" s="3" t="s">
        <v>120</v>
      </c>
      <c r="D3" s="27"/>
      <c r="E3" s="3" t="s">
        <v>121</v>
      </c>
      <c r="F3" s="2"/>
      <c r="G3" s="3" t="s">
        <v>122</v>
      </c>
      <c r="H3" s="3"/>
      <c r="I3" s="3" t="s">
        <v>123</v>
      </c>
      <c r="J3" s="2"/>
    </row>
    <row r="4" spans="1:21" x14ac:dyDescent="0.2">
      <c r="C4" s="33" t="s">
        <v>124</v>
      </c>
      <c r="D4" s="34" t="s">
        <v>125</v>
      </c>
      <c r="E4" s="33" t="s">
        <v>124</v>
      </c>
      <c r="F4" s="34" t="s">
        <v>125</v>
      </c>
      <c r="G4" s="33" t="s">
        <v>124</v>
      </c>
      <c r="H4" s="34" t="s">
        <v>125</v>
      </c>
      <c r="I4" s="33" t="s">
        <v>124</v>
      </c>
      <c r="J4" s="34" t="s">
        <v>125</v>
      </c>
    </row>
    <row r="5" spans="1:21" x14ac:dyDescent="0.2">
      <c r="B5" s="2">
        <v>1995</v>
      </c>
      <c r="C5" s="44">
        <f>+'Loss Analysis 1995'!B36</f>
        <v>17.273</v>
      </c>
      <c r="D5" s="44">
        <f>+'Loss Analysis 1995'!C36</f>
        <v>3.4176000000000001E-7</v>
      </c>
      <c r="E5" s="44">
        <f>+'Loss Analysis 1995'!D36</f>
        <v>0</v>
      </c>
      <c r="F5" s="44">
        <f>+'Loss Analysis 1995'!E36</f>
        <v>1.0499999999999999E-6</v>
      </c>
      <c r="G5" s="44">
        <f>+'Loss Analysis 1995'!F36</f>
        <v>97.167000000000002</v>
      </c>
      <c r="H5" s="44">
        <f>+'Loss Analysis 1995'!G36</f>
        <v>5.8780000000000001E-7</v>
      </c>
      <c r="I5" s="44">
        <f>+'Loss Analysis 1995'!H36</f>
        <v>0</v>
      </c>
      <c r="J5" s="44">
        <f>+'Loss Analysis 1995'!I36</f>
        <v>4.2553199999999998E-7</v>
      </c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x14ac:dyDescent="0.2">
      <c r="B6" s="2">
        <v>2001</v>
      </c>
      <c r="C6" s="42" t="e">
        <f>+#REF!</f>
        <v>#REF!</v>
      </c>
      <c r="D6" s="42" t="e">
        <f>+#REF!</f>
        <v>#REF!</v>
      </c>
      <c r="E6" s="42" t="e">
        <f>+#REF!</f>
        <v>#REF!</v>
      </c>
      <c r="F6" s="42" t="e">
        <f>+#REF!</f>
        <v>#REF!</v>
      </c>
      <c r="G6" s="42" t="e">
        <f>+#REF!</f>
        <v>#REF!</v>
      </c>
      <c r="H6" s="42" t="e">
        <f>+#REF!</f>
        <v>#REF!</v>
      </c>
      <c r="I6" s="42" t="e">
        <f>+#REF!</f>
        <v>#REF!</v>
      </c>
      <c r="J6" s="42" t="e">
        <f>+#REF!</f>
        <v>#REF!</v>
      </c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x14ac:dyDescent="0.2">
      <c r="B7" s="2" t="s">
        <v>126</v>
      </c>
      <c r="C7" s="42" t="e">
        <f>+'Loss Analysis 2001 Mod'!B36</f>
        <v>#REF!</v>
      </c>
      <c r="D7" s="42" t="e">
        <f>+'Loss Analysis 2001 Mod'!C36</f>
        <v>#REF!</v>
      </c>
      <c r="E7" s="42">
        <f>+'Loss Analysis 2001 Mod'!D36</f>
        <v>0</v>
      </c>
      <c r="F7" s="42">
        <f>+'Loss Analysis 2001 Mod'!E36</f>
        <v>1.4130000000000001E-6</v>
      </c>
      <c r="G7" s="42" t="e">
        <f>+'Loss Analysis 2001 Mod'!F36</f>
        <v>#REF!</v>
      </c>
      <c r="H7" s="42" t="e">
        <f>+'Loss Analysis 2001 Mod'!G36</f>
        <v>#REF!</v>
      </c>
      <c r="I7" s="42">
        <f>+'Loss Analysis 2001 Mod'!H36</f>
        <v>0</v>
      </c>
      <c r="J7" s="42" t="e">
        <f>+'Loss Analysis 2001 Mod'!I36</f>
        <v>#REF!</v>
      </c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x14ac:dyDescent="0.2">
      <c r="C8" s="13"/>
      <c r="D8" s="13"/>
      <c r="E8" s="13"/>
      <c r="F8" s="13"/>
      <c r="G8" s="13"/>
      <c r="H8" s="13"/>
      <c r="I8" s="13"/>
      <c r="J8" s="13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x14ac:dyDescent="0.2"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2" customFormat="1" x14ac:dyDescent="0.2"/>
    <row r="11" spans="1:21" s="2" customFormat="1" x14ac:dyDescent="0.2">
      <c r="A11" s="46"/>
      <c r="B11" s="47" t="s">
        <v>127</v>
      </c>
      <c r="C11" s="48"/>
      <c r="D11" s="57" t="s">
        <v>128</v>
      </c>
      <c r="E11" s="48"/>
      <c r="F11" s="57" t="s">
        <v>129</v>
      </c>
      <c r="G11" s="48"/>
      <c r="H11" s="57" t="s">
        <v>130</v>
      </c>
      <c r="I11" s="48"/>
      <c r="J11" s="57" t="s">
        <v>131</v>
      </c>
      <c r="K11" s="48"/>
      <c r="L11" s="51" t="s">
        <v>132</v>
      </c>
      <c r="M11" s="48" t="s">
        <v>132</v>
      </c>
    </row>
    <row r="12" spans="1:21" x14ac:dyDescent="0.2">
      <c r="A12" s="31"/>
      <c r="B12" s="49" t="s">
        <v>133</v>
      </c>
      <c r="C12" s="58"/>
      <c r="D12" s="52" t="s">
        <v>133</v>
      </c>
      <c r="E12" s="50" t="s">
        <v>134</v>
      </c>
      <c r="F12" s="52" t="s">
        <v>133</v>
      </c>
      <c r="G12" s="50" t="s">
        <v>134</v>
      </c>
      <c r="H12" s="52" t="s">
        <v>133</v>
      </c>
      <c r="I12" s="50" t="s">
        <v>134</v>
      </c>
      <c r="J12" s="52" t="s">
        <v>133</v>
      </c>
      <c r="K12" s="50" t="s">
        <v>134</v>
      </c>
      <c r="L12" s="52" t="s">
        <v>133</v>
      </c>
      <c r="M12" s="50" t="s">
        <v>134</v>
      </c>
      <c r="N12" s="2"/>
      <c r="O12" s="2"/>
      <c r="P12" s="2"/>
      <c r="Q12" s="2"/>
      <c r="R12" s="2"/>
      <c r="S12" s="2"/>
      <c r="T12" s="2"/>
      <c r="U12" s="2"/>
    </row>
    <row r="13" spans="1:21" x14ac:dyDescent="0.2">
      <c r="A13" s="36">
        <v>1995</v>
      </c>
      <c r="B13" s="2">
        <f>+'Loss Analysis 1995'!B9</f>
        <v>4000</v>
      </c>
      <c r="C13" s="59"/>
      <c r="D13" s="53">
        <f>+'Loss Analysis 1995'!C9</f>
        <v>22.741160000000001</v>
      </c>
      <c r="E13" s="54">
        <f>+D13/$B$13</f>
        <v>5.68529E-3</v>
      </c>
      <c r="F13" s="53">
        <f>+'Loss Analysis 1995'!E9</f>
        <v>16.609517274376049</v>
      </c>
      <c r="G13" s="54">
        <f>+F13/$B$13</f>
        <v>4.1523793185940126E-3</v>
      </c>
      <c r="H13" s="53">
        <f>+'Loss Analysis 1995'!G9</f>
        <v>106.38766756926137</v>
      </c>
      <c r="I13" s="54">
        <f>+H13/$B$13</f>
        <v>2.6596916892315341E-2</v>
      </c>
      <c r="J13" s="53">
        <f>+'Loss Analysis 1995'!I9</f>
        <v>6.3214195223298901</v>
      </c>
      <c r="K13" s="54">
        <f>+J13/$B$13</f>
        <v>1.5803548805824726E-3</v>
      </c>
      <c r="L13" s="53">
        <f>+'Loss Analysis 1995'!J9</f>
        <v>152.05976436596734</v>
      </c>
      <c r="M13" s="54">
        <f>+L13/B13</f>
        <v>3.8014941091491831E-2</v>
      </c>
    </row>
    <row r="14" spans="1:21" x14ac:dyDescent="0.2">
      <c r="A14" s="36">
        <v>2001</v>
      </c>
      <c r="B14" s="2">
        <f>+'Loss Analysis 1995'!B9</f>
        <v>4000</v>
      </c>
      <c r="C14" s="59"/>
      <c r="D14" s="53" t="e">
        <f>+#REF!</f>
        <v>#REF!</v>
      </c>
      <c r="E14" s="54" t="e">
        <f>+D14/$B$13</f>
        <v>#REF!</v>
      </c>
      <c r="F14" s="53" t="e">
        <f>+#REF!</f>
        <v>#REF!</v>
      </c>
      <c r="G14" s="54" t="e">
        <f>+F14/$B$13</f>
        <v>#REF!</v>
      </c>
      <c r="H14" s="53" t="e">
        <f>+#REF!</f>
        <v>#REF!</v>
      </c>
      <c r="I14" s="54" t="e">
        <f>+H14/$B$13</f>
        <v>#REF!</v>
      </c>
      <c r="J14" s="53" t="e">
        <f>+#REF!</f>
        <v>#REF!</v>
      </c>
      <c r="K14" s="54" t="e">
        <f>+J14/$B$13</f>
        <v>#REF!</v>
      </c>
      <c r="L14" s="53" t="e">
        <f>+#REF!</f>
        <v>#REF!</v>
      </c>
      <c r="M14" s="54" t="e">
        <f>+L14/B14</f>
        <v>#REF!</v>
      </c>
    </row>
    <row r="15" spans="1:21" x14ac:dyDescent="0.2">
      <c r="A15" s="36" t="s">
        <v>135</v>
      </c>
      <c r="B15" s="2">
        <f>+'Loss Analysis 1995'!B9</f>
        <v>4000</v>
      </c>
      <c r="C15" s="59"/>
      <c r="D15" s="53" t="e">
        <f>+'Loss Analysis 2001 Mod'!C9</f>
        <v>#REF!</v>
      </c>
      <c r="E15" s="54" t="e">
        <f>+D15/$B$13</f>
        <v>#REF!</v>
      </c>
      <c r="F15" s="53" t="e">
        <f>+'Loss Analysis 2001 Mod'!E9</f>
        <v>#REF!</v>
      </c>
      <c r="G15" s="54" t="e">
        <f>+F15/$B$13</f>
        <v>#REF!</v>
      </c>
      <c r="H15" s="53" t="e">
        <f>+'Loss Analysis 2001 Mod'!G9</f>
        <v>#REF!</v>
      </c>
      <c r="I15" s="54" t="e">
        <f>+H15/$B$13</f>
        <v>#REF!</v>
      </c>
      <c r="J15" s="53" t="e">
        <f>+'Loss Analysis 2001 Mod'!I9</f>
        <v>#REF!</v>
      </c>
      <c r="K15" s="54" t="e">
        <f>+J15/$B$13</f>
        <v>#REF!</v>
      </c>
      <c r="L15" s="53" t="e">
        <f>+'Loss Analysis 2001 Mod'!J9</f>
        <v>#REF!</v>
      </c>
      <c r="M15" s="54" t="e">
        <f>+L15/B15</f>
        <v>#REF!</v>
      </c>
    </row>
    <row r="16" spans="1:21" x14ac:dyDescent="0.2">
      <c r="A16" s="36"/>
      <c r="C16" s="59"/>
      <c r="D16" s="28"/>
      <c r="E16" s="29"/>
      <c r="F16" s="28"/>
      <c r="G16" s="29"/>
      <c r="H16" s="28"/>
      <c r="I16" s="29"/>
      <c r="J16" s="28"/>
      <c r="K16" s="29"/>
      <c r="L16" s="28"/>
      <c r="M16" s="29"/>
    </row>
    <row r="17" spans="1:13" x14ac:dyDescent="0.2">
      <c r="A17" s="36">
        <v>1995</v>
      </c>
      <c r="B17" s="2">
        <f>+'Loss Analysis 1995'!B18</f>
        <v>7600</v>
      </c>
      <c r="C17" s="59"/>
      <c r="D17" s="53">
        <f>+'Loss Analysis 1995'!C18</f>
        <v>37.013057599999996</v>
      </c>
      <c r="E17" s="54">
        <f>+D17/$B$13</f>
        <v>9.253264399999999E-3</v>
      </c>
      <c r="F17" s="53">
        <f>+'Loss Analysis 1995'!E18</f>
        <v>60.058710065458541</v>
      </c>
      <c r="G17" s="54">
        <f>+F17/$B$13</f>
        <v>1.5014677516364636E-2</v>
      </c>
      <c r="H17" s="53">
        <f>+'Loss Analysis 1995'!G18</f>
        <v>130.25657326461098</v>
      </c>
      <c r="I17" s="54">
        <f>+H17/$B$13</f>
        <v>3.2564143316152747E-2</v>
      </c>
      <c r="J17" s="53">
        <f>+'Loss Analysis 1995'!I18</f>
        <v>23.130339686685293</v>
      </c>
      <c r="K17" s="54">
        <f>+J17/$B$13</f>
        <v>5.7825849216713229E-3</v>
      </c>
      <c r="L17" s="53">
        <f>+'Loss Analysis 1995'!J18</f>
        <v>250.4586806167548</v>
      </c>
      <c r="M17" s="54">
        <f>+L17/B17</f>
        <v>3.2955089554836156E-2</v>
      </c>
    </row>
    <row r="18" spans="1:13" x14ac:dyDescent="0.2">
      <c r="A18" s="36">
        <v>2001</v>
      </c>
      <c r="B18" s="2">
        <f>+'Loss Analysis 1995'!B18</f>
        <v>7600</v>
      </c>
      <c r="C18" s="59"/>
      <c r="D18" s="53" t="e">
        <f>+#REF!</f>
        <v>#REF!</v>
      </c>
      <c r="E18" s="54" t="e">
        <f>+D18/$B$13</f>
        <v>#REF!</v>
      </c>
      <c r="F18" s="53" t="e">
        <f>+#REF!</f>
        <v>#REF!</v>
      </c>
      <c r="G18" s="54" t="e">
        <f>+F18/$B$13</f>
        <v>#REF!</v>
      </c>
      <c r="H18" s="53" t="e">
        <f>+#REF!</f>
        <v>#REF!</v>
      </c>
      <c r="I18" s="54" t="e">
        <f>+H18/$B$13</f>
        <v>#REF!</v>
      </c>
      <c r="J18" s="53" t="e">
        <f>+#REF!</f>
        <v>#REF!</v>
      </c>
      <c r="K18" s="54" t="e">
        <f>+J18/$B$13</f>
        <v>#REF!</v>
      </c>
      <c r="L18" s="53" t="e">
        <f>+#REF!</f>
        <v>#REF!</v>
      </c>
      <c r="M18" s="54" t="e">
        <f>+L18/B18</f>
        <v>#REF!</v>
      </c>
    </row>
    <row r="19" spans="1:13" x14ac:dyDescent="0.2">
      <c r="A19" s="36" t="s">
        <v>135</v>
      </c>
      <c r="B19" s="2">
        <f>+'Loss Analysis 1995'!B18</f>
        <v>7600</v>
      </c>
      <c r="C19" s="59"/>
      <c r="D19" s="53" t="e">
        <f>+'Loss Analysis 2001 Mod'!C18</f>
        <v>#REF!</v>
      </c>
      <c r="E19" s="54" t="e">
        <f>+D19/$B$13</f>
        <v>#REF!</v>
      </c>
      <c r="F19" s="53" t="e">
        <f>+'Loss Analysis 2001 Mod'!E18</f>
        <v>#REF!</v>
      </c>
      <c r="G19" s="54" t="e">
        <f>+F19/$B$13</f>
        <v>#REF!</v>
      </c>
      <c r="H19" s="53" t="e">
        <f>+'Loss Analysis 2001 Mod'!G18</f>
        <v>#REF!</v>
      </c>
      <c r="I19" s="54" t="e">
        <f>+H19/$B$13</f>
        <v>#REF!</v>
      </c>
      <c r="J19" s="53" t="e">
        <f>+'Loss Analysis 2001 Mod'!I18</f>
        <v>#REF!</v>
      </c>
      <c r="K19" s="54" t="e">
        <f>+J19/$B$13</f>
        <v>#REF!</v>
      </c>
      <c r="L19" s="53" t="e">
        <f>+'Loss Analysis 2001 Mod'!J18</f>
        <v>#REF!</v>
      </c>
      <c r="M19" s="54" t="e">
        <f>+L19/B19</f>
        <v>#REF!</v>
      </c>
    </row>
    <row r="20" spans="1:13" x14ac:dyDescent="0.2">
      <c r="A20" s="36"/>
      <c r="C20" s="59"/>
      <c r="D20" s="28"/>
      <c r="E20" s="29"/>
      <c r="F20" s="28"/>
      <c r="G20" s="29"/>
      <c r="H20" s="28"/>
      <c r="I20" s="29"/>
      <c r="J20" s="28"/>
      <c r="K20" s="29"/>
      <c r="L20" s="28"/>
      <c r="M20" s="29"/>
    </row>
    <row r="21" spans="1:13" x14ac:dyDescent="0.2">
      <c r="A21" s="36">
        <v>1995</v>
      </c>
      <c r="B21" s="2">
        <f>+'Loss Analysis 1995'!B27</f>
        <v>11200</v>
      </c>
      <c r="C21" s="59"/>
      <c r="D21" s="53">
        <f>+'Loss Analysis 1995'!C27</f>
        <v>60.143374399999999</v>
      </c>
      <c r="E21" s="54">
        <f>+D21/$B$13</f>
        <v>1.5035843599999999E-2</v>
      </c>
      <c r="F21" s="53">
        <f>+'Loss Analysis 1995'!E27</f>
        <v>130.30122592087039</v>
      </c>
      <c r="G21" s="54">
        <f>+F21/$B$13</f>
        <v>3.25753064802176E-2</v>
      </c>
      <c r="H21" s="53">
        <f>+'Loss Analysis 1995'!G27</f>
        <v>168.41442027595934</v>
      </c>
      <c r="I21" s="54">
        <f>+H21/$B$13</f>
        <v>4.2103605068989837E-2</v>
      </c>
      <c r="J21" s="53">
        <f>+'Loss Analysis 1995'!I27</f>
        <v>50.012919677175432</v>
      </c>
      <c r="K21" s="54">
        <f>+J21/$B$13</f>
        <v>1.2503229919293857E-2</v>
      </c>
      <c r="L21" s="53">
        <f>+'Loss Analysis 1995'!J27</f>
        <v>408.87194027400517</v>
      </c>
      <c r="M21" s="54">
        <f>+L21/B21</f>
        <v>3.650642323875046E-2</v>
      </c>
    </row>
    <row r="22" spans="1:13" x14ac:dyDescent="0.2">
      <c r="A22" s="36">
        <v>2001</v>
      </c>
      <c r="B22" s="2">
        <f>+'Loss Analysis 1995'!B27</f>
        <v>11200</v>
      </c>
      <c r="C22" s="59"/>
      <c r="D22" s="53" t="e">
        <f>+#REF!</f>
        <v>#REF!</v>
      </c>
      <c r="E22" s="54" t="e">
        <f>+D22/$B$13</f>
        <v>#REF!</v>
      </c>
      <c r="F22" s="53" t="e">
        <f>+#REF!</f>
        <v>#REF!</v>
      </c>
      <c r="G22" s="54" t="e">
        <f>+F22/$B$13</f>
        <v>#REF!</v>
      </c>
      <c r="H22" s="53" t="e">
        <f>+#REF!</f>
        <v>#REF!</v>
      </c>
      <c r="I22" s="54" t="e">
        <f>+H22/$B$13</f>
        <v>#REF!</v>
      </c>
      <c r="J22" s="53" t="e">
        <f>+#REF!</f>
        <v>#REF!</v>
      </c>
      <c r="K22" s="54" t="e">
        <f>+J22/$B$13</f>
        <v>#REF!</v>
      </c>
      <c r="L22" s="53" t="e">
        <f>+#REF!</f>
        <v>#REF!</v>
      </c>
      <c r="M22" s="54" t="e">
        <f>+L22/B22</f>
        <v>#REF!</v>
      </c>
    </row>
    <row r="23" spans="1:13" x14ac:dyDescent="0.2">
      <c r="A23" s="52" t="s">
        <v>135</v>
      </c>
      <c r="B23" s="60">
        <f>+'Loss Analysis 1995'!B27</f>
        <v>11200</v>
      </c>
      <c r="C23" s="61"/>
      <c r="D23" s="55" t="e">
        <f>+'Loss Analysis 2001 Mod'!C27</f>
        <v>#REF!</v>
      </c>
      <c r="E23" s="56" t="e">
        <f>+D23/$B$13</f>
        <v>#REF!</v>
      </c>
      <c r="F23" s="55" t="e">
        <f>+'Loss Analysis 2001 Mod'!E27</f>
        <v>#REF!</v>
      </c>
      <c r="G23" s="56" t="e">
        <f>+F23/$B$13</f>
        <v>#REF!</v>
      </c>
      <c r="H23" s="55" t="e">
        <f>+'Loss Analysis 2001 Mod'!G27</f>
        <v>#REF!</v>
      </c>
      <c r="I23" s="56" t="e">
        <f>+H23/$B$13</f>
        <v>#REF!</v>
      </c>
      <c r="J23" s="55" t="e">
        <f>+'Loss Analysis 2001 Mod'!I27</f>
        <v>#REF!</v>
      </c>
      <c r="K23" s="56" t="e">
        <f>+J23/$B$13</f>
        <v>#REF!</v>
      </c>
      <c r="L23" s="55" t="e">
        <f>+'Loss Analysis 2001 Mod'!J27</f>
        <v>#REF!</v>
      </c>
      <c r="M23" s="56" t="e">
        <f>+L23/B23</f>
        <v>#REF!</v>
      </c>
    </row>
    <row r="26" spans="1:13" x14ac:dyDescent="0.2">
      <c r="D26" s="3" t="s">
        <v>136</v>
      </c>
    </row>
  </sheetData>
  <phoneticPr fontId="13" type="noConversion"/>
  <pageMargins left="0.75" right="0.75" top="1" bottom="1" header="0.5" footer="0.5"/>
  <pageSetup scale="67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53"/>
  <sheetViews>
    <sheetView zoomScale="75" workbookViewId="0">
      <selection activeCell="D1" sqref="D1"/>
    </sheetView>
  </sheetViews>
  <sheetFormatPr defaultRowHeight="12.75" x14ac:dyDescent="0.2"/>
  <cols>
    <col min="1" max="1" width="4.42578125" customWidth="1"/>
    <col min="2" max="7" width="15.7109375" style="2" customWidth="1"/>
    <col min="8" max="8" width="15.85546875" style="2" customWidth="1"/>
    <col min="9" max="10" width="15.7109375" style="2" customWidth="1"/>
    <col min="11" max="11" width="13.28515625" style="2" customWidth="1"/>
    <col min="12" max="12" width="15.28515625" style="2" customWidth="1"/>
    <col min="13" max="13" width="13" style="2" customWidth="1"/>
    <col min="14" max="14" width="13.28515625" style="2" customWidth="1"/>
    <col min="15" max="15" width="15.28515625" style="2" customWidth="1"/>
    <col min="16" max="16" width="13.28515625" style="2" customWidth="1"/>
    <col min="17" max="17" width="13.140625" style="2" customWidth="1"/>
    <col min="18" max="19" width="13.28515625" style="2" customWidth="1"/>
    <col min="20" max="20" width="14.28515625" style="2" customWidth="1"/>
  </cols>
  <sheetData>
    <row r="1" spans="1:21" x14ac:dyDescent="0.2">
      <c r="A1" s="1" t="s">
        <v>137</v>
      </c>
      <c r="B1" s="6"/>
      <c r="C1" s="6"/>
      <c r="D1" s="6">
        <v>1995</v>
      </c>
      <c r="F1" s="37" t="s">
        <v>119</v>
      </c>
      <c r="K1" s="6"/>
      <c r="M1" s="6" t="s">
        <v>138</v>
      </c>
      <c r="N1" s="25">
        <v>0</v>
      </c>
      <c r="O1" s="6" t="s">
        <v>138</v>
      </c>
      <c r="P1" s="6">
        <v>0.8</v>
      </c>
      <c r="Q1" s="6" t="s">
        <v>138</v>
      </c>
      <c r="R1" s="25">
        <v>1</v>
      </c>
      <c r="S1" s="25"/>
      <c r="T1" s="25"/>
    </row>
    <row r="2" spans="1:21" x14ac:dyDescent="0.2">
      <c r="A2" s="7"/>
      <c r="B2" s="8"/>
      <c r="C2" s="8"/>
      <c r="D2" s="9" t="s">
        <v>139</v>
      </c>
      <c r="E2" s="9"/>
      <c r="F2" s="9"/>
      <c r="G2" s="9"/>
      <c r="H2" s="9"/>
      <c r="I2" s="9"/>
      <c r="J2" s="9"/>
      <c r="K2" s="8"/>
      <c r="L2" s="9" t="s">
        <v>140</v>
      </c>
      <c r="M2" s="9"/>
      <c r="N2" s="24" t="s">
        <v>141</v>
      </c>
      <c r="O2" s="9" t="s">
        <v>140</v>
      </c>
      <c r="P2" s="24" t="s">
        <v>142</v>
      </c>
      <c r="Q2" s="9" t="s">
        <v>140</v>
      </c>
      <c r="R2" s="24" t="s">
        <v>142</v>
      </c>
      <c r="S2" s="24" t="s">
        <v>143</v>
      </c>
      <c r="T2" s="9" t="s">
        <v>140</v>
      </c>
    </row>
    <row r="3" spans="1:21" x14ac:dyDescent="0.2">
      <c r="A3" s="10"/>
      <c r="B3" s="11" t="s">
        <v>144</v>
      </c>
      <c r="C3" s="11" t="s">
        <v>145</v>
      </c>
      <c r="D3" s="12" t="s">
        <v>146</v>
      </c>
      <c r="E3" s="12" t="s">
        <v>147</v>
      </c>
      <c r="F3" s="12" t="s">
        <v>148</v>
      </c>
      <c r="G3" s="12" t="s">
        <v>149</v>
      </c>
      <c r="H3" s="12" t="s">
        <v>150</v>
      </c>
      <c r="I3" s="12" t="s">
        <v>151</v>
      </c>
      <c r="J3" s="22" t="s">
        <v>132</v>
      </c>
      <c r="K3" s="11" t="s">
        <v>141</v>
      </c>
      <c r="L3" s="12" t="s">
        <v>152</v>
      </c>
      <c r="M3" s="22" t="s">
        <v>132</v>
      </c>
      <c r="N3" s="11" t="s">
        <v>153</v>
      </c>
      <c r="O3" s="12" t="s">
        <v>154</v>
      </c>
      <c r="P3" s="11" t="s">
        <v>155</v>
      </c>
      <c r="Q3" s="12" t="s">
        <v>156</v>
      </c>
      <c r="R3" s="11" t="s">
        <v>157</v>
      </c>
      <c r="S3" s="11" t="s">
        <v>158</v>
      </c>
      <c r="T3" s="26" t="s">
        <v>156</v>
      </c>
    </row>
    <row r="4" spans="1:21" x14ac:dyDescent="0.2">
      <c r="A4" s="13"/>
      <c r="B4" s="14" t="s">
        <v>133</v>
      </c>
      <c r="C4" s="14" t="s">
        <v>133</v>
      </c>
      <c r="D4" s="14" t="s">
        <v>133</v>
      </c>
      <c r="E4" s="14" t="s">
        <v>133</v>
      </c>
      <c r="F4" s="14" t="s">
        <v>133</v>
      </c>
      <c r="G4" s="14" t="s">
        <v>133</v>
      </c>
      <c r="H4" s="14" t="s">
        <v>133</v>
      </c>
      <c r="I4" s="14" t="s">
        <v>133</v>
      </c>
      <c r="J4" s="23" t="s">
        <v>133</v>
      </c>
      <c r="K4" s="14" t="s">
        <v>133</v>
      </c>
      <c r="L4" s="14" t="s">
        <v>133</v>
      </c>
      <c r="M4" s="23" t="s">
        <v>134</v>
      </c>
      <c r="N4" s="14" t="s">
        <v>134</v>
      </c>
      <c r="O4" s="14" t="s">
        <v>134</v>
      </c>
      <c r="P4" s="14" t="s">
        <v>134</v>
      </c>
      <c r="Q4" s="14" t="s">
        <v>134</v>
      </c>
      <c r="R4" s="14" t="s">
        <v>134</v>
      </c>
      <c r="S4" s="14" t="s">
        <v>133</v>
      </c>
      <c r="T4" s="14" t="s">
        <v>133</v>
      </c>
    </row>
    <row r="5" spans="1:21" x14ac:dyDescent="0.2">
      <c r="A5" s="5">
        <v>1</v>
      </c>
      <c r="B5" s="2">
        <v>2400</v>
      </c>
      <c r="C5" s="4">
        <f>$B$36+$C$36*B5*B5</f>
        <v>19.241537600000001</v>
      </c>
      <c r="D5" s="4">
        <f t="shared" ref="D5:D31" si="0">+B5-C5</f>
        <v>2380.7584624000001</v>
      </c>
      <c r="E5" s="4">
        <f>$E$36*D5*D5</f>
        <v>5.951411399103673</v>
      </c>
      <c r="F5" s="4">
        <f t="shared" ref="F5:F31" si="1">+D5-E5</f>
        <v>2374.8070510008965</v>
      </c>
      <c r="G5" s="4">
        <f>$F$36+$G$36*F5*F5</f>
        <v>100.48202067363044</v>
      </c>
      <c r="H5" s="4">
        <f t="shared" ref="H5:H31" si="2">+F5-G5</f>
        <v>2274.3250303272662</v>
      </c>
      <c r="I5" s="4">
        <f>$I$36*H5*H5</f>
        <v>2.201087394929357</v>
      </c>
      <c r="J5" s="15">
        <f t="shared" ref="J5:J31" si="3">+C5+E5+G5+I5</f>
        <v>127.87605706766348</v>
      </c>
      <c r="K5" s="15">
        <f t="shared" ref="K5:K17" si="4">+B5/$B$18*$J$18</f>
        <v>79.092214931606776</v>
      </c>
      <c r="L5" s="4">
        <f t="shared" ref="L5:L31" si="5">+J5-K5</f>
        <v>48.783842136056705</v>
      </c>
      <c r="M5" s="17">
        <f t="shared" ref="M5:M31" si="6">+J5/B5</f>
        <v>5.3281690444859781E-2</v>
      </c>
      <c r="N5" s="17">
        <f t="shared" ref="N5:N31" si="7">+B5/$B$18*$M$18</f>
        <v>1.0406870385737734E-2</v>
      </c>
      <c r="O5" s="20">
        <f>+M5-N5</f>
        <v>4.2874820059122049E-2</v>
      </c>
      <c r="P5" s="17">
        <f t="shared" ref="P5:P31" si="8">+$M$18*($P$1+(1-$P$1)*(B5/$B$18))</f>
        <v>2.8445445721016472E-2</v>
      </c>
      <c r="Q5" s="20">
        <f>+M5-P5</f>
        <v>2.4836244723843309E-2</v>
      </c>
      <c r="R5" s="17">
        <f t="shared" ref="R5:R31" si="9">+$M$18*($R$1+(1-$R$1)*(B5/$B$18))</f>
        <v>3.2955089554836156E-2</v>
      </c>
      <c r="S5" s="15">
        <f>+P5*B5</f>
        <v>68.269069730439526</v>
      </c>
      <c r="T5" s="4">
        <f t="shared" ref="T5:T31" si="10">+J5-S5</f>
        <v>59.606987337223956</v>
      </c>
    </row>
    <row r="6" spans="1:21" x14ac:dyDescent="0.2">
      <c r="A6">
        <f t="shared" ref="A6:A31" si="11">1+A5</f>
        <v>2</v>
      </c>
      <c r="B6" s="2">
        <f t="shared" ref="B6:B31" si="12">+B5+$B$33</f>
        <v>2800</v>
      </c>
      <c r="C6" s="4">
        <f>$B$36+$C$36*B6*B6</f>
        <v>19.9523984</v>
      </c>
      <c r="D6" s="4">
        <f t="shared" si="0"/>
        <v>2780.0476015999998</v>
      </c>
      <c r="E6" s="4">
        <f>$E$36*D6*D6</f>
        <v>8.1150979005200057</v>
      </c>
      <c r="F6" s="4">
        <f t="shared" si="1"/>
        <v>2771.9325036994796</v>
      </c>
      <c r="G6" s="4">
        <f>$F$36+$G$36*F6*F6</f>
        <v>101.6834258434176</v>
      </c>
      <c r="H6" s="4">
        <f t="shared" si="2"/>
        <v>2670.2490778560618</v>
      </c>
      <c r="I6" s="4">
        <f>$I$36*H6*H6</f>
        <v>3.034141090994543</v>
      </c>
      <c r="J6" s="4">
        <f t="shared" si="3"/>
        <v>132.78506323493215</v>
      </c>
      <c r="K6" s="15">
        <f t="shared" si="4"/>
        <v>92.274250753541239</v>
      </c>
      <c r="L6" s="4">
        <f t="shared" si="5"/>
        <v>40.510812481390914</v>
      </c>
      <c r="M6" s="17">
        <f t="shared" si="6"/>
        <v>4.7423236869618628E-2</v>
      </c>
      <c r="N6" s="17">
        <f t="shared" si="7"/>
        <v>1.2141348783360689E-2</v>
      </c>
      <c r="O6" s="20">
        <f t="shared" ref="O6:O31" si="13">+M6-N6</f>
        <v>3.5281888086257943E-2</v>
      </c>
      <c r="P6" s="17">
        <f t="shared" si="8"/>
        <v>2.8792341400541065E-2</v>
      </c>
      <c r="Q6" s="20">
        <f t="shared" ref="Q6:Q31" si="14">+M6-P6</f>
        <v>1.8630895469077563E-2</v>
      </c>
      <c r="R6" s="17">
        <f t="shared" si="9"/>
        <v>3.2955089554836156E-2</v>
      </c>
      <c r="S6" s="15">
        <f t="shared" ref="S6:S31" si="15">+P6*B6</f>
        <v>80.618555921514982</v>
      </c>
      <c r="T6" s="4">
        <f t="shared" si="10"/>
        <v>52.166507313417171</v>
      </c>
    </row>
    <row r="7" spans="1:21" x14ac:dyDescent="0.2">
      <c r="A7">
        <f t="shared" si="11"/>
        <v>3</v>
      </c>
      <c r="B7" s="2">
        <f t="shared" si="12"/>
        <v>3200</v>
      </c>
      <c r="C7" s="4">
        <f t="shared" ref="C7:C31" si="16">$B$36+$C$36*B7*B7</f>
        <v>20.772622399999999</v>
      </c>
      <c r="D7" s="4">
        <f t="shared" si="0"/>
        <v>3179.2273776000002</v>
      </c>
      <c r="E7" s="4">
        <f t="shared" ref="E7:E31" si="17">$E$36*D7*D7</f>
        <v>10.612861054405442</v>
      </c>
      <c r="F7" s="4">
        <f t="shared" si="1"/>
        <v>3168.6145165455946</v>
      </c>
      <c r="G7" s="4">
        <f t="shared" ref="G7:G31" si="18">$F$36+$G$36*F7*F7</f>
        <v>103.06858133363363</v>
      </c>
      <c r="H7" s="4">
        <f t="shared" si="2"/>
        <v>3065.545935211961</v>
      </c>
      <c r="I7" s="4">
        <f t="shared" ref="I7:I31" si="19">$I$36*H7*H7</f>
        <v>3.9989675576208312</v>
      </c>
      <c r="J7" s="70">
        <f t="shared" si="3"/>
        <v>138.45303234565989</v>
      </c>
      <c r="K7" s="69">
        <f t="shared" si="4"/>
        <v>105.4562865754757</v>
      </c>
      <c r="L7" s="70">
        <f t="shared" si="5"/>
        <v>32.996745770184191</v>
      </c>
      <c r="M7" s="67">
        <f t="shared" si="6"/>
        <v>4.3266572608018715E-2</v>
      </c>
      <c r="N7" s="67">
        <f t="shared" si="7"/>
        <v>1.3875827180983643E-2</v>
      </c>
      <c r="O7" s="68">
        <f t="shared" si="13"/>
        <v>2.939074542703507E-2</v>
      </c>
      <c r="P7" s="67">
        <f t="shared" si="8"/>
        <v>2.9139237080065654E-2</v>
      </c>
      <c r="Q7" s="68">
        <f t="shared" si="14"/>
        <v>1.4127335527953061E-2</v>
      </c>
      <c r="R7" s="67">
        <f t="shared" si="9"/>
        <v>3.2955089554836156E-2</v>
      </c>
      <c r="S7" s="69">
        <f t="shared" si="15"/>
        <v>93.245558656210093</v>
      </c>
      <c r="T7" s="70">
        <f t="shared" si="10"/>
        <v>45.207473689449799</v>
      </c>
    </row>
    <row r="8" spans="1:21" x14ac:dyDescent="0.2">
      <c r="A8">
        <f t="shared" si="11"/>
        <v>4</v>
      </c>
      <c r="B8" s="2">
        <f t="shared" si="12"/>
        <v>3600</v>
      </c>
      <c r="C8" s="4">
        <f t="shared" si="16"/>
        <v>21.7022096</v>
      </c>
      <c r="D8" s="4">
        <f t="shared" si="0"/>
        <v>3578.2977903999999</v>
      </c>
      <c r="E8" s="4">
        <f t="shared" si="17"/>
        <v>13.444425830620597</v>
      </c>
      <c r="F8" s="4">
        <f t="shared" si="1"/>
        <v>3564.8533645693792</v>
      </c>
      <c r="G8" s="4">
        <f t="shared" si="18"/>
        <v>104.63686791649621</v>
      </c>
      <c r="H8" s="4">
        <f t="shared" si="2"/>
        <v>3460.2164966528831</v>
      </c>
      <c r="I8" s="4">
        <f t="shared" si="19"/>
        <v>5.0949364248205926</v>
      </c>
      <c r="J8" s="70">
        <f t="shared" si="3"/>
        <v>144.87843977193739</v>
      </c>
      <c r="K8" s="69">
        <f t="shared" si="4"/>
        <v>118.63832239741016</v>
      </c>
      <c r="L8" s="70">
        <f t="shared" si="5"/>
        <v>26.24011737452723</v>
      </c>
      <c r="M8" s="67">
        <f t="shared" si="6"/>
        <v>4.0244011047760389E-2</v>
      </c>
      <c r="N8" s="67">
        <f t="shared" si="7"/>
        <v>1.56103055786066E-2</v>
      </c>
      <c r="O8" s="68">
        <f t="shared" si="13"/>
        <v>2.4633705469153791E-2</v>
      </c>
      <c r="P8" s="67">
        <f t="shared" si="8"/>
        <v>2.9486132759590247E-2</v>
      </c>
      <c r="Q8" s="68">
        <f t="shared" si="14"/>
        <v>1.0757878288170142E-2</v>
      </c>
      <c r="R8" s="67">
        <f t="shared" si="9"/>
        <v>3.2955089554836156E-2</v>
      </c>
      <c r="S8" s="69">
        <f t="shared" si="15"/>
        <v>106.15007793452489</v>
      </c>
      <c r="T8" s="70">
        <f t="shared" si="10"/>
        <v>38.728361837412507</v>
      </c>
    </row>
    <row r="9" spans="1:21" x14ac:dyDescent="0.2">
      <c r="A9">
        <f t="shared" si="11"/>
        <v>5</v>
      </c>
      <c r="B9" s="2">
        <f t="shared" si="12"/>
        <v>4000</v>
      </c>
      <c r="C9" s="4">
        <f t="shared" si="16"/>
        <v>22.741160000000001</v>
      </c>
      <c r="D9" s="4">
        <f t="shared" si="0"/>
        <v>3977.25884</v>
      </c>
      <c r="E9" s="4">
        <f t="shared" si="17"/>
        <v>16.609517274376049</v>
      </c>
      <c r="F9" s="4">
        <f t="shared" si="1"/>
        <v>3960.6493227256237</v>
      </c>
      <c r="G9" s="4">
        <f t="shared" si="18"/>
        <v>106.38766756926137</v>
      </c>
      <c r="H9" s="4">
        <f t="shared" si="2"/>
        <v>3854.2616551563624</v>
      </c>
      <c r="I9" s="4">
        <f t="shared" si="19"/>
        <v>6.3214195223298901</v>
      </c>
      <c r="J9" s="70">
        <f t="shared" si="3"/>
        <v>152.05976436596734</v>
      </c>
      <c r="K9" s="69">
        <f t="shared" si="4"/>
        <v>131.82035821934463</v>
      </c>
      <c r="L9" s="70">
        <f t="shared" si="5"/>
        <v>20.239406146622713</v>
      </c>
      <c r="M9" s="67">
        <f t="shared" si="6"/>
        <v>3.8014941091491831E-2</v>
      </c>
      <c r="N9" s="67">
        <f t="shared" si="7"/>
        <v>1.7344783976229555E-2</v>
      </c>
      <c r="O9" s="68">
        <f t="shared" si="13"/>
        <v>2.0670157115262277E-2</v>
      </c>
      <c r="P9" s="67">
        <f t="shared" si="8"/>
        <v>2.9833028439114836E-2</v>
      </c>
      <c r="Q9" s="68">
        <f t="shared" si="14"/>
        <v>8.1819126523769957E-3</v>
      </c>
      <c r="R9" s="67">
        <f t="shared" si="9"/>
        <v>3.2955089554836156E-2</v>
      </c>
      <c r="S9" s="69">
        <f t="shared" si="15"/>
        <v>119.33211375645935</v>
      </c>
      <c r="T9" s="70">
        <f t="shared" si="10"/>
        <v>32.72765060950799</v>
      </c>
    </row>
    <row r="10" spans="1:21" x14ac:dyDescent="0.2">
      <c r="A10">
        <f t="shared" si="11"/>
        <v>6</v>
      </c>
      <c r="B10" s="2">
        <f t="shared" si="12"/>
        <v>4400</v>
      </c>
      <c r="C10" s="4">
        <f t="shared" si="16"/>
        <v>23.889473599999999</v>
      </c>
      <c r="D10" s="4">
        <f t="shared" si="0"/>
        <v>4376.1105263999998</v>
      </c>
      <c r="E10" s="4">
        <f t="shared" si="17"/>
        <v>20.107860506232328</v>
      </c>
      <c r="F10" s="4">
        <f t="shared" si="1"/>
        <v>4356.0026658937677</v>
      </c>
      <c r="G10" s="4">
        <f t="shared" si="18"/>
        <v>108.32036347261582</v>
      </c>
      <c r="H10" s="4">
        <f t="shared" si="2"/>
        <v>4247.6823024211517</v>
      </c>
      <c r="I10" s="4">
        <f t="shared" si="19"/>
        <v>7.6777908727075932</v>
      </c>
      <c r="J10" s="70">
        <f t="shared" si="3"/>
        <v>159.99548845155573</v>
      </c>
      <c r="K10" s="69">
        <f t="shared" si="4"/>
        <v>145.0023940412791</v>
      </c>
      <c r="L10" s="70">
        <f t="shared" si="5"/>
        <v>14.993094410276626</v>
      </c>
      <c r="M10" s="67">
        <f t="shared" si="6"/>
        <v>3.6362611011717214E-2</v>
      </c>
      <c r="N10" s="67">
        <f t="shared" si="7"/>
        <v>1.9079262373852511E-2</v>
      </c>
      <c r="O10" s="68">
        <f t="shared" si="13"/>
        <v>1.7283348637864702E-2</v>
      </c>
      <c r="P10" s="67">
        <f t="shared" si="8"/>
        <v>3.0179924118639428E-2</v>
      </c>
      <c r="Q10" s="68">
        <f t="shared" si="14"/>
        <v>6.1826868930777851E-3</v>
      </c>
      <c r="R10" s="67">
        <f t="shared" si="9"/>
        <v>3.2955089554836156E-2</v>
      </c>
      <c r="S10" s="69">
        <f t="shared" si="15"/>
        <v>132.79166612201348</v>
      </c>
      <c r="T10" s="70">
        <f t="shared" si="10"/>
        <v>27.203822329542248</v>
      </c>
    </row>
    <row r="11" spans="1:21" x14ac:dyDescent="0.2">
      <c r="A11">
        <f t="shared" si="11"/>
        <v>7</v>
      </c>
      <c r="B11" s="2">
        <f t="shared" si="12"/>
        <v>4800</v>
      </c>
      <c r="C11" s="4">
        <f t="shared" si="16"/>
        <v>25.147150400000001</v>
      </c>
      <c r="D11" s="4">
        <f t="shared" si="0"/>
        <v>4774.8528495999999</v>
      </c>
      <c r="E11" s="4">
        <f t="shared" si="17"/>
        <v>23.939180722099898</v>
      </c>
      <c r="F11" s="4">
        <f t="shared" si="1"/>
        <v>4750.9136688778999</v>
      </c>
      <c r="G11" s="4">
        <f t="shared" si="18"/>
        <v>110.43434000907112</v>
      </c>
      <c r="H11" s="4">
        <f t="shared" si="2"/>
        <v>4640.4793288688288</v>
      </c>
      <c r="I11" s="4">
        <f t="shared" si="19"/>
        <v>9.1634266844547128</v>
      </c>
      <c r="J11" s="70">
        <f t="shared" si="3"/>
        <v>168.68409781562573</v>
      </c>
      <c r="K11" s="69">
        <f t="shared" si="4"/>
        <v>158.18442986321355</v>
      </c>
      <c r="L11" s="70">
        <f t="shared" si="5"/>
        <v>10.499667952412182</v>
      </c>
      <c r="M11" s="67">
        <f t="shared" si="6"/>
        <v>3.5142520378255361E-2</v>
      </c>
      <c r="N11" s="67">
        <f t="shared" si="7"/>
        <v>2.0813740771475468E-2</v>
      </c>
      <c r="O11" s="68">
        <f t="shared" si="13"/>
        <v>1.4328779606779894E-2</v>
      </c>
      <c r="P11" s="67">
        <f t="shared" si="8"/>
        <v>3.0526819798164018E-2</v>
      </c>
      <c r="Q11" s="68">
        <f t="shared" si="14"/>
        <v>4.6157005800913434E-3</v>
      </c>
      <c r="R11" s="67">
        <f t="shared" si="9"/>
        <v>3.2955089554836156E-2</v>
      </c>
      <c r="S11" s="69">
        <f t="shared" si="15"/>
        <v>146.5287350311873</v>
      </c>
      <c r="T11" s="70">
        <f t="shared" si="10"/>
        <v>22.155362784438438</v>
      </c>
    </row>
    <row r="12" spans="1:21" x14ac:dyDescent="0.2">
      <c r="A12">
        <f t="shared" si="11"/>
        <v>8</v>
      </c>
      <c r="B12" s="2">
        <f t="shared" si="12"/>
        <v>5200</v>
      </c>
      <c r="C12" s="4">
        <f t="shared" si="16"/>
        <v>26.5141904</v>
      </c>
      <c r="D12" s="4">
        <f t="shared" si="0"/>
        <v>5173.4858095999998</v>
      </c>
      <c r="E12" s="4">
        <f t="shared" si="17"/>
        <v>28.103203193239189</v>
      </c>
      <c r="F12" s="4">
        <f t="shared" si="1"/>
        <v>5145.3826064067607</v>
      </c>
      <c r="G12" s="4">
        <f t="shared" si="18"/>
        <v>112.72898276135892</v>
      </c>
      <c r="H12" s="4">
        <f t="shared" si="2"/>
        <v>5032.6536236454021</v>
      </c>
      <c r="I12" s="4">
        <f t="shared" si="19"/>
        <v>10.777705345153912</v>
      </c>
      <c r="J12" s="70">
        <f t="shared" si="3"/>
        <v>178.12408169975203</v>
      </c>
      <c r="K12" s="69">
        <f t="shared" si="4"/>
        <v>171.36646568514803</v>
      </c>
      <c r="L12" s="70">
        <f t="shared" si="5"/>
        <v>6.7576160146039967</v>
      </c>
      <c r="M12" s="67">
        <f t="shared" si="6"/>
        <v>3.4254631096106158E-2</v>
      </c>
      <c r="N12" s="67">
        <f t="shared" si="7"/>
        <v>2.2548219169098424E-2</v>
      </c>
      <c r="O12" s="68">
        <f t="shared" si="13"/>
        <v>1.1706411927007734E-2</v>
      </c>
      <c r="P12" s="67">
        <f t="shared" si="8"/>
        <v>3.087371547768861E-2</v>
      </c>
      <c r="Q12" s="68">
        <f t="shared" si="14"/>
        <v>3.380915618417548E-3</v>
      </c>
      <c r="R12" s="67">
        <f t="shared" si="9"/>
        <v>3.2955089554836156E-2</v>
      </c>
      <c r="S12" s="69">
        <f t="shared" si="15"/>
        <v>160.54332048398078</v>
      </c>
      <c r="T12" s="70">
        <f t="shared" si="10"/>
        <v>17.580761215771247</v>
      </c>
    </row>
    <row r="13" spans="1:21" x14ac:dyDescent="0.2">
      <c r="A13">
        <f t="shared" si="11"/>
        <v>9</v>
      </c>
      <c r="B13" s="2">
        <f t="shared" si="12"/>
        <v>5600</v>
      </c>
      <c r="C13" s="4">
        <f t="shared" si="16"/>
        <v>27.9905936</v>
      </c>
      <c r="D13" s="4">
        <f t="shared" si="0"/>
        <v>5572.0094064000004</v>
      </c>
      <c r="E13" s="4">
        <f t="shared" si="17"/>
        <v>32.599653266260589</v>
      </c>
      <c r="F13" s="4">
        <f t="shared" si="1"/>
        <v>5539.4097531337402</v>
      </c>
      <c r="G13" s="4">
        <f t="shared" si="18"/>
        <v>115.20367851082794</v>
      </c>
      <c r="H13" s="4">
        <f t="shared" si="2"/>
        <v>5424.2060746229126</v>
      </c>
      <c r="I13" s="4">
        <f t="shared" si="19"/>
        <v>12.520007414629113</v>
      </c>
      <c r="J13" s="70">
        <f t="shared" si="3"/>
        <v>188.31393279171763</v>
      </c>
      <c r="K13" s="69">
        <f t="shared" si="4"/>
        <v>184.54850150708248</v>
      </c>
      <c r="L13" s="70">
        <f t="shared" si="5"/>
        <v>3.7654312846351559</v>
      </c>
      <c r="M13" s="67">
        <f t="shared" si="6"/>
        <v>3.3627487998521007E-2</v>
      </c>
      <c r="N13" s="67">
        <f t="shared" si="7"/>
        <v>2.4282697566721377E-2</v>
      </c>
      <c r="O13" s="68">
        <f t="shared" si="13"/>
        <v>9.3447904317996294E-3</v>
      </c>
      <c r="P13" s="67">
        <f t="shared" si="8"/>
        <v>3.1220611157213203E-2</v>
      </c>
      <c r="Q13" s="68">
        <f t="shared" si="14"/>
        <v>2.4068768413078034E-3</v>
      </c>
      <c r="R13" s="67">
        <f t="shared" si="9"/>
        <v>3.2955089554836156E-2</v>
      </c>
      <c r="S13" s="69">
        <f t="shared" si="15"/>
        <v>174.83542248039393</v>
      </c>
      <c r="T13" s="70">
        <f t="shared" si="10"/>
        <v>13.478510311323703</v>
      </c>
    </row>
    <row r="14" spans="1:21" x14ac:dyDescent="0.2">
      <c r="A14">
        <f t="shared" si="11"/>
        <v>10</v>
      </c>
      <c r="B14" s="2">
        <f t="shared" si="12"/>
        <v>6000</v>
      </c>
      <c r="C14" s="4">
        <f t="shared" si="16"/>
        <v>29.576360000000001</v>
      </c>
      <c r="D14" s="4">
        <f t="shared" si="0"/>
        <v>5970.42364</v>
      </c>
      <c r="E14" s="4">
        <f t="shared" si="17"/>
        <v>37.42825636312439</v>
      </c>
      <c r="F14" s="4">
        <f t="shared" si="1"/>
        <v>5932.9953836368759</v>
      </c>
      <c r="G14" s="4">
        <f t="shared" si="18"/>
        <v>117.85781523584237</v>
      </c>
      <c r="H14" s="4">
        <f t="shared" si="2"/>
        <v>5815.1375684010336</v>
      </c>
      <c r="I14" s="4">
        <f t="shared" si="19"/>
        <v>14.389715618125136</v>
      </c>
      <c r="J14" s="70">
        <f t="shared" si="3"/>
        <v>199.2521472170919</v>
      </c>
      <c r="K14" s="69">
        <f t="shared" si="4"/>
        <v>197.73053732901695</v>
      </c>
      <c r="L14" s="70">
        <f t="shared" si="5"/>
        <v>1.5216098880749485</v>
      </c>
      <c r="M14" s="67">
        <f t="shared" si="6"/>
        <v>3.3208691202848653E-2</v>
      </c>
      <c r="N14" s="67">
        <f t="shared" si="7"/>
        <v>2.6017175964344334E-2</v>
      </c>
      <c r="O14" s="68">
        <f t="shared" si="13"/>
        <v>7.1915152385043195E-3</v>
      </c>
      <c r="P14" s="67">
        <f t="shared" si="8"/>
        <v>3.1567506836737792E-2</v>
      </c>
      <c r="Q14" s="68">
        <f t="shared" si="14"/>
        <v>1.6411843661108608E-3</v>
      </c>
      <c r="R14" s="67">
        <f t="shared" si="9"/>
        <v>3.2955089554836156E-2</v>
      </c>
      <c r="S14" s="69">
        <f t="shared" si="15"/>
        <v>189.40504102042675</v>
      </c>
      <c r="T14" s="70">
        <f t="shared" si="10"/>
        <v>9.8471061966651519</v>
      </c>
      <c r="U14" s="45" t="s">
        <v>159</v>
      </c>
    </row>
    <row r="15" spans="1:21" x14ac:dyDescent="0.2">
      <c r="A15">
        <f t="shared" si="11"/>
        <v>11</v>
      </c>
      <c r="B15" s="2">
        <f t="shared" si="12"/>
        <v>6400</v>
      </c>
      <c r="C15" s="4">
        <f t="shared" si="16"/>
        <v>31.271489599999999</v>
      </c>
      <c r="D15" s="4">
        <f t="shared" si="0"/>
        <v>6368.7285104000002</v>
      </c>
      <c r="E15" s="4">
        <f t="shared" si="17"/>
        <v>42.588737981140888</v>
      </c>
      <c r="F15" s="4">
        <f t="shared" si="1"/>
        <v>6326.1397724188591</v>
      </c>
      <c r="G15" s="4">
        <f t="shared" si="18"/>
        <v>120.69078211018166</v>
      </c>
      <c r="H15" s="4">
        <f t="shared" si="2"/>
        <v>6205.4489903086778</v>
      </c>
      <c r="I15" s="4">
        <f t="shared" si="19"/>
        <v>16.386214839507414</v>
      </c>
      <c r="J15" s="70">
        <f t="shared" si="3"/>
        <v>210.93722453082995</v>
      </c>
      <c r="K15" s="69">
        <f t="shared" si="4"/>
        <v>210.9125731509514</v>
      </c>
      <c r="L15" s="70">
        <f t="shared" si="5"/>
        <v>2.4651379878548596E-2</v>
      </c>
      <c r="M15" s="67">
        <f t="shared" si="6"/>
        <v>3.2958941332942179E-2</v>
      </c>
      <c r="N15" s="67">
        <f t="shared" si="7"/>
        <v>2.7751654361967287E-2</v>
      </c>
      <c r="O15" s="68">
        <f t="shared" si="13"/>
        <v>5.2072869709748927E-3</v>
      </c>
      <c r="P15" s="67">
        <f t="shared" si="8"/>
        <v>3.1914402516262382E-2</v>
      </c>
      <c r="Q15" s="68">
        <f t="shared" si="14"/>
        <v>1.0445388166797978E-3</v>
      </c>
      <c r="R15" s="67">
        <f t="shared" si="9"/>
        <v>3.2955089554836156E-2</v>
      </c>
      <c r="S15" s="69">
        <f t="shared" si="15"/>
        <v>204.25217610407924</v>
      </c>
      <c r="T15" s="70">
        <f t="shared" si="10"/>
        <v>6.6850484267507113</v>
      </c>
    </row>
    <row r="16" spans="1:21" x14ac:dyDescent="0.2">
      <c r="A16">
        <f t="shared" si="11"/>
        <v>12</v>
      </c>
      <c r="B16" s="2">
        <f t="shared" si="12"/>
        <v>6800</v>
      </c>
      <c r="C16" s="4">
        <f t="shared" si="16"/>
        <v>33.075982400000001</v>
      </c>
      <c r="D16" s="4">
        <f t="shared" si="0"/>
        <v>6766.9240176000003</v>
      </c>
      <c r="E16" s="4">
        <f t="shared" si="17"/>
        <v>48.080823692970313</v>
      </c>
      <c r="F16" s="4">
        <f t="shared" si="1"/>
        <v>6718.8431939070297</v>
      </c>
      <c r="G16" s="4">
        <f t="shared" si="18"/>
        <v>123.70196950144189</v>
      </c>
      <c r="H16" s="4">
        <f t="shared" si="2"/>
        <v>6595.1412244055882</v>
      </c>
      <c r="I16" s="4">
        <f t="shared" si="19"/>
        <v>18.508892114481529</v>
      </c>
      <c r="J16" s="70">
        <f t="shared" si="3"/>
        <v>223.36766770889375</v>
      </c>
      <c r="K16" s="69">
        <f t="shared" si="4"/>
        <v>224.09460897288588</v>
      </c>
      <c r="L16" s="70">
        <f t="shared" si="5"/>
        <v>-0.72694126399213133</v>
      </c>
      <c r="M16" s="67">
        <f t="shared" si="6"/>
        <v>3.2848186427778495E-2</v>
      </c>
      <c r="N16" s="67">
        <f t="shared" si="7"/>
        <v>2.9486132759590247E-2</v>
      </c>
      <c r="O16" s="68">
        <f t="shared" si="13"/>
        <v>3.3620536681882481E-3</v>
      </c>
      <c r="P16" s="67">
        <f t="shared" si="8"/>
        <v>3.2261298195786978E-2</v>
      </c>
      <c r="Q16" s="68">
        <f t="shared" si="14"/>
        <v>5.8688823199151696E-4</v>
      </c>
      <c r="R16" s="67">
        <f t="shared" si="9"/>
        <v>3.2955089554836156E-2</v>
      </c>
      <c r="S16" s="69">
        <f t="shared" si="15"/>
        <v>219.37682773135145</v>
      </c>
      <c r="T16" s="70">
        <f t="shared" si="10"/>
        <v>3.9908399775422936</v>
      </c>
    </row>
    <row r="17" spans="1:20" x14ac:dyDescent="0.2">
      <c r="A17">
        <f t="shared" si="11"/>
        <v>13</v>
      </c>
      <c r="B17" s="2">
        <f t="shared" si="12"/>
        <v>7200</v>
      </c>
      <c r="C17" s="4">
        <f t="shared" si="16"/>
        <v>34.989838399999996</v>
      </c>
      <c r="D17" s="4">
        <f t="shared" si="0"/>
        <v>7165.0101616000002</v>
      </c>
      <c r="E17" s="4">
        <f t="shared" si="17"/>
        <v>53.904239146622814</v>
      </c>
      <c r="F17" s="4">
        <f t="shared" si="1"/>
        <v>7111.1059224533774</v>
      </c>
      <c r="G17" s="4">
        <f t="shared" si="18"/>
        <v>126.89076896943861</v>
      </c>
      <c r="H17" s="4">
        <f t="shared" si="2"/>
        <v>6984.2151534839386</v>
      </c>
      <c r="I17" s="4">
        <f t="shared" si="19"/>
        <v>20.757136623832739</v>
      </c>
      <c r="J17" s="70">
        <f t="shared" si="3"/>
        <v>236.54198313989414</v>
      </c>
      <c r="K17" s="69">
        <f t="shared" si="4"/>
        <v>237.27664479482033</v>
      </c>
      <c r="L17" s="70">
        <f t="shared" si="5"/>
        <v>-0.73466165492618529</v>
      </c>
      <c r="M17" s="67">
        <f t="shared" si="6"/>
        <v>3.2853053213874189E-2</v>
      </c>
      <c r="N17" s="67">
        <f t="shared" si="7"/>
        <v>3.12206111572132E-2</v>
      </c>
      <c r="O17" s="68">
        <f t="shared" si="13"/>
        <v>1.6324420566609897E-3</v>
      </c>
      <c r="P17" s="67">
        <f t="shared" si="8"/>
        <v>3.2608193875311567E-2</v>
      </c>
      <c r="Q17" s="68">
        <f t="shared" si="14"/>
        <v>2.4485933856262243E-4</v>
      </c>
      <c r="R17" s="67">
        <f t="shared" si="9"/>
        <v>3.2955089554836156E-2</v>
      </c>
      <c r="S17" s="69">
        <f t="shared" si="15"/>
        <v>234.77899590224328</v>
      </c>
      <c r="T17" s="70">
        <f t="shared" si="10"/>
        <v>1.7629872376508615</v>
      </c>
    </row>
    <row r="18" spans="1:20" s="1" customFormat="1" x14ac:dyDescent="0.2">
      <c r="A18" s="19">
        <f t="shared" si="11"/>
        <v>14</v>
      </c>
      <c r="B18" s="6">
        <f t="shared" si="12"/>
        <v>7600</v>
      </c>
      <c r="C18" s="16">
        <f t="shared" si="16"/>
        <v>37.013057599999996</v>
      </c>
      <c r="D18" s="16">
        <f t="shared" si="0"/>
        <v>7562.9869423999999</v>
      </c>
      <c r="E18" s="16">
        <f t="shared" si="17"/>
        <v>60.058710065458541</v>
      </c>
      <c r="F18" s="16">
        <f t="shared" si="1"/>
        <v>7502.9282323345415</v>
      </c>
      <c r="G18" s="16">
        <f t="shared" si="18"/>
        <v>130.25657326461098</v>
      </c>
      <c r="H18" s="16">
        <f t="shared" si="2"/>
        <v>7372.6716590699307</v>
      </c>
      <c r="I18" s="16">
        <f t="shared" si="19"/>
        <v>23.130339686685293</v>
      </c>
      <c r="J18" s="72">
        <f t="shared" si="3"/>
        <v>250.4586806167548</v>
      </c>
      <c r="K18" s="72">
        <f>+B18/$B$18*$J$18</f>
        <v>250.4586806167548</v>
      </c>
      <c r="L18" s="72">
        <f t="shared" si="5"/>
        <v>0</v>
      </c>
      <c r="M18" s="71">
        <f t="shared" si="6"/>
        <v>3.2955089554836156E-2</v>
      </c>
      <c r="N18" s="71">
        <f t="shared" si="7"/>
        <v>3.2955089554836156E-2</v>
      </c>
      <c r="O18" s="71">
        <f t="shared" si="13"/>
        <v>0</v>
      </c>
      <c r="P18" s="71">
        <f>+$M$18*($P$1+(1-$P$1)*(B18/$B$18))</f>
        <v>3.2955089554836156E-2</v>
      </c>
      <c r="Q18" s="71">
        <f t="shared" si="14"/>
        <v>0</v>
      </c>
      <c r="R18" s="71">
        <f t="shared" si="9"/>
        <v>3.2955089554836156E-2</v>
      </c>
      <c r="S18" s="72">
        <f t="shared" si="15"/>
        <v>250.45868061675478</v>
      </c>
      <c r="T18" s="72">
        <f t="shared" si="10"/>
        <v>0</v>
      </c>
    </row>
    <row r="19" spans="1:20" x14ac:dyDescent="0.2">
      <c r="A19">
        <f t="shared" si="11"/>
        <v>15</v>
      </c>
      <c r="B19" s="2">
        <f t="shared" si="12"/>
        <v>8000</v>
      </c>
      <c r="C19" s="4">
        <f t="shared" si="16"/>
        <v>39.14564</v>
      </c>
      <c r="D19" s="4">
        <f t="shared" si="0"/>
        <v>7960.8543600000003</v>
      </c>
      <c r="E19" s="4">
        <f t="shared" si="17"/>
        <v>66.543962248187555</v>
      </c>
      <c r="F19" s="4">
        <f t="shared" si="1"/>
        <v>7894.3103977518131</v>
      </c>
      <c r="G19" s="4">
        <f t="shared" si="18"/>
        <v>133.7987763264276</v>
      </c>
      <c r="H19" s="4">
        <f t="shared" si="2"/>
        <v>7760.5116214253858</v>
      </c>
      <c r="I19" s="4">
        <f t="shared" si="19"/>
        <v>25.627894753781529</v>
      </c>
      <c r="J19" s="70">
        <f t="shared" si="3"/>
        <v>265.11627332839669</v>
      </c>
      <c r="K19" s="69">
        <f t="shared" ref="K19:K31" si="20">+B19/$B$18*$J$18</f>
        <v>263.64071643868925</v>
      </c>
      <c r="L19" s="70">
        <f t="shared" si="5"/>
        <v>1.475556889707434</v>
      </c>
      <c r="M19" s="67">
        <f t="shared" si="6"/>
        <v>3.3139534166049589E-2</v>
      </c>
      <c r="N19" s="67">
        <f t="shared" si="7"/>
        <v>3.4689567952459109E-2</v>
      </c>
      <c r="O19" s="68">
        <f t="shared" si="13"/>
        <v>-1.5500337864095201E-3</v>
      </c>
      <c r="P19" s="67">
        <f t="shared" si="8"/>
        <v>3.3301985234360745E-2</v>
      </c>
      <c r="Q19" s="68">
        <f t="shared" si="14"/>
        <v>-1.624510683111563E-4</v>
      </c>
      <c r="R19" s="67">
        <f t="shared" si="9"/>
        <v>3.2955089554836156E-2</v>
      </c>
      <c r="S19" s="69">
        <f t="shared" si="15"/>
        <v>266.41588187488594</v>
      </c>
      <c r="T19" s="70">
        <f t="shared" si="10"/>
        <v>-1.2996085464892531</v>
      </c>
    </row>
    <row r="20" spans="1:20" x14ac:dyDescent="0.2">
      <c r="A20">
        <f t="shared" si="11"/>
        <v>16</v>
      </c>
      <c r="B20" s="2">
        <f t="shared" si="12"/>
        <v>8400</v>
      </c>
      <c r="C20" s="4">
        <f t="shared" si="16"/>
        <v>41.387585599999994</v>
      </c>
      <c r="D20" s="4">
        <f t="shared" si="0"/>
        <v>8358.6124144000005</v>
      </c>
      <c r="E20" s="4">
        <f t="shared" si="17"/>
        <v>73.359721568869887</v>
      </c>
      <c r="F20" s="4">
        <f t="shared" si="1"/>
        <v>8285.2526928311308</v>
      </c>
      <c r="G20" s="4">
        <f t="shared" si="18"/>
        <v>137.51677328179369</v>
      </c>
      <c r="H20" s="4">
        <f t="shared" si="2"/>
        <v>8147.7359195493373</v>
      </c>
      <c r="I20" s="4">
        <f t="shared" si="19"/>
        <v>28.249197400780684</v>
      </c>
      <c r="J20" s="70">
        <f t="shared" si="3"/>
        <v>280.51327785144429</v>
      </c>
      <c r="K20" s="69">
        <f t="shared" si="20"/>
        <v>276.82275226062376</v>
      </c>
      <c r="L20" s="70">
        <f t="shared" si="5"/>
        <v>3.6905255908205277</v>
      </c>
      <c r="M20" s="67">
        <f t="shared" si="6"/>
        <v>3.3394437839457655E-2</v>
      </c>
      <c r="N20" s="67">
        <f t="shared" si="7"/>
        <v>3.6424046350082069E-2</v>
      </c>
      <c r="O20" s="68">
        <f t="shared" si="13"/>
        <v>-3.0296085106244139E-3</v>
      </c>
      <c r="P20" s="67">
        <f t="shared" si="8"/>
        <v>3.3648880913885341E-2</v>
      </c>
      <c r="Q20" s="68">
        <f t="shared" si="14"/>
        <v>-2.5444307442768627E-4</v>
      </c>
      <c r="R20" s="67">
        <f t="shared" si="9"/>
        <v>3.2955089554836156E-2</v>
      </c>
      <c r="S20" s="69">
        <f t="shared" si="15"/>
        <v>282.65059967663689</v>
      </c>
      <c r="T20" s="70">
        <f t="shared" si="10"/>
        <v>-2.1373218251926005</v>
      </c>
    </row>
    <row r="21" spans="1:20" x14ac:dyDescent="0.2">
      <c r="A21">
        <f t="shared" si="11"/>
        <v>17</v>
      </c>
      <c r="B21" s="2">
        <f t="shared" si="12"/>
        <v>8800</v>
      </c>
      <c r="C21" s="4">
        <f t="shared" si="16"/>
        <v>43.7388944</v>
      </c>
      <c r="D21" s="4">
        <f t="shared" si="0"/>
        <v>8756.2611056000005</v>
      </c>
      <c r="E21" s="4">
        <f t="shared" si="17"/>
        <v>80.505713976915501</v>
      </c>
      <c r="F21" s="4">
        <f t="shared" si="1"/>
        <v>8675.7553916230845</v>
      </c>
      <c r="G21" s="4">
        <f t="shared" si="18"/>
        <v>141.40996044345982</v>
      </c>
      <c r="H21" s="4">
        <f t="shared" si="2"/>
        <v>8534.3454311796249</v>
      </c>
      <c r="I21" s="4">
        <f t="shared" si="19"/>
        <v>30.993645321577414</v>
      </c>
      <c r="J21" s="70">
        <f t="shared" si="3"/>
        <v>296.64821414195268</v>
      </c>
      <c r="K21" s="69">
        <f t="shared" si="20"/>
        <v>290.00478808255821</v>
      </c>
      <c r="L21" s="70">
        <f t="shared" si="5"/>
        <v>6.6434260593944714</v>
      </c>
      <c r="M21" s="67">
        <f t="shared" si="6"/>
        <v>3.3710024334312805E-2</v>
      </c>
      <c r="N21" s="67">
        <f t="shared" si="7"/>
        <v>3.8158524747705022E-2</v>
      </c>
      <c r="O21" s="68">
        <f t="shared" si="13"/>
        <v>-4.4485004133922174E-3</v>
      </c>
      <c r="P21" s="67">
        <f t="shared" si="8"/>
        <v>3.3995776593409931E-2</v>
      </c>
      <c r="Q21" s="68">
        <f t="shared" si="14"/>
        <v>-2.8575225909712593E-4</v>
      </c>
      <c r="R21" s="67">
        <f t="shared" si="9"/>
        <v>3.2955089554836156E-2</v>
      </c>
      <c r="S21" s="69">
        <f t="shared" si="15"/>
        <v>299.16283402200742</v>
      </c>
      <c r="T21" s="70">
        <f t="shared" si="10"/>
        <v>-2.5146198800547381</v>
      </c>
    </row>
    <row r="22" spans="1:20" x14ac:dyDescent="0.2">
      <c r="A22">
        <f t="shared" si="11"/>
        <v>18</v>
      </c>
      <c r="B22" s="2">
        <f t="shared" si="12"/>
        <v>9200</v>
      </c>
      <c r="C22" s="4">
        <f t="shared" si="16"/>
        <v>46.199566400000002</v>
      </c>
      <c r="D22" s="4">
        <f t="shared" si="0"/>
        <v>9153.8004335999995</v>
      </c>
      <c r="E22" s="4">
        <f t="shared" si="17"/>
        <v>87.981665497084308</v>
      </c>
      <c r="F22" s="4">
        <f t="shared" si="1"/>
        <v>9065.8187681029158</v>
      </c>
      <c r="G22" s="4">
        <f t="shared" si="18"/>
        <v>145.47773530843199</v>
      </c>
      <c r="H22" s="4">
        <f t="shared" si="2"/>
        <v>8920.3410327944839</v>
      </c>
      <c r="I22" s="4">
        <f t="shared" si="19"/>
        <v>33.860638321639911</v>
      </c>
      <c r="J22" s="70">
        <f t="shared" si="3"/>
        <v>313.51960552715622</v>
      </c>
      <c r="K22" s="69">
        <f t="shared" si="20"/>
        <v>303.18682390449266</v>
      </c>
      <c r="L22" s="70">
        <f t="shared" si="5"/>
        <v>10.33278162266356</v>
      </c>
      <c r="M22" s="67">
        <f t="shared" si="6"/>
        <v>3.4078217992082195E-2</v>
      </c>
      <c r="N22" s="67">
        <f t="shared" si="7"/>
        <v>3.9893003145327975E-2</v>
      </c>
      <c r="O22" s="68">
        <f t="shared" si="13"/>
        <v>-5.81478515324578E-3</v>
      </c>
      <c r="P22" s="67">
        <f t="shared" si="8"/>
        <v>3.434267227293452E-2</v>
      </c>
      <c r="Q22" s="68">
        <f t="shared" si="14"/>
        <v>-2.6445428085232481E-4</v>
      </c>
      <c r="R22" s="67">
        <f t="shared" si="9"/>
        <v>3.2955089554836156E-2</v>
      </c>
      <c r="S22" s="69">
        <f t="shared" si="15"/>
        <v>315.95258491099759</v>
      </c>
      <c r="T22" s="70">
        <f t="shared" si="10"/>
        <v>-2.4329793838413707</v>
      </c>
    </row>
    <row r="23" spans="1:20" x14ac:dyDescent="0.2">
      <c r="A23">
        <f t="shared" si="11"/>
        <v>19</v>
      </c>
      <c r="B23" s="2">
        <f t="shared" si="12"/>
        <v>9600</v>
      </c>
      <c r="C23" s="4">
        <f t="shared" si="16"/>
        <v>48.769601600000001</v>
      </c>
      <c r="D23" s="4">
        <f t="shared" si="0"/>
        <v>9551.2303983999991</v>
      </c>
      <c r="E23" s="4">
        <f t="shared" si="17"/>
        <v>95.787302229486215</v>
      </c>
      <c r="F23" s="4">
        <f t="shared" si="1"/>
        <v>9455.4430961705129</v>
      </c>
      <c r="G23" s="4">
        <f t="shared" si="18"/>
        <v>149.71949655638318</v>
      </c>
      <c r="H23" s="4">
        <f t="shared" si="2"/>
        <v>9305.7235996141299</v>
      </c>
      <c r="I23" s="4">
        <f t="shared" si="19"/>
        <v>36.84957831136753</v>
      </c>
      <c r="J23" s="70">
        <f t="shared" si="3"/>
        <v>331.12597869723686</v>
      </c>
      <c r="K23" s="69">
        <f t="shared" si="20"/>
        <v>316.3688597264271</v>
      </c>
      <c r="L23" s="70">
        <f t="shared" si="5"/>
        <v>14.757118970809756</v>
      </c>
      <c r="M23" s="67">
        <f t="shared" si="6"/>
        <v>3.4492289447628839E-2</v>
      </c>
      <c r="N23" s="67">
        <f t="shared" si="7"/>
        <v>4.1627481542950935E-2</v>
      </c>
      <c r="O23" s="68">
        <f t="shared" si="13"/>
        <v>-7.135192095322096E-3</v>
      </c>
      <c r="P23" s="67">
        <f t="shared" si="8"/>
        <v>3.4689567952459109E-2</v>
      </c>
      <c r="Q23" s="68">
        <f t="shared" si="14"/>
        <v>-1.9727850483026999E-4</v>
      </c>
      <c r="R23" s="67">
        <f t="shared" si="9"/>
        <v>3.2955089554836156E-2</v>
      </c>
      <c r="S23" s="69">
        <f t="shared" si="15"/>
        <v>333.01985234360745</v>
      </c>
      <c r="T23" s="70">
        <f t="shared" si="10"/>
        <v>-1.8938736463705936</v>
      </c>
    </row>
    <row r="24" spans="1:20" x14ac:dyDescent="0.2">
      <c r="A24">
        <f t="shared" si="11"/>
        <v>20</v>
      </c>
      <c r="B24" s="2">
        <f t="shared" si="12"/>
        <v>10000</v>
      </c>
      <c r="C24" s="4">
        <f t="shared" si="16"/>
        <v>51.448999999999998</v>
      </c>
      <c r="D24" s="4">
        <f t="shared" si="0"/>
        <v>9948.5509999999995</v>
      </c>
      <c r="E24" s="4">
        <f t="shared" si="17"/>
        <v>103.92235034958102</v>
      </c>
      <c r="F24" s="4">
        <f t="shared" si="1"/>
        <v>9844.6286496504181</v>
      </c>
      <c r="G24" s="4">
        <f t="shared" si="18"/>
        <v>154.13464404806658</v>
      </c>
      <c r="H24" s="4">
        <f t="shared" si="2"/>
        <v>9690.4940056023515</v>
      </c>
      <c r="I24" s="4">
        <f t="shared" si="19"/>
        <v>39.959869299468053</v>
      </c>
      <c r="J24" s="70">
        <f t="shared" si="3"/>
        <v>349.46586369711559</v>
      </c>
      <c r="K24" s="69">
        <f t="shared" si="20"/>
        <v>329.55089554836161</v>
      </c>
      <c r="L24" s="70">
        <f t="shared" si="5"/>
        <v>19.914968148753985</v>
      </c>
      <c r="M24" s="67">
        <f t="shared" si="6"/>
        <v>3.4946586369711562E-2</v>
      </c>
      <c r="N24" s="67">
        <f t="shared" si="7"/>
        <v>4.3361959940573895E-2</v>
      </c>
      <c r="O24" s="68">
        <f t="shared" si="13"/>
        <v>-8.4153735708623334E-3</v>
      </c>
      <c r="P24" s="67">
        <f t="shared" si="8"/>
        <v>3.5036463631983705E-2</v>
      </c>
      <c r="Q24" s="68">
        <f t="shared" si="14"/>
        <v>-8.9877262272143599E-5</v>
      </c>
      <c r="R24" s="67">
        <f t="shared" si="9"/>
        <v>3.2955089554836156E-2</v>
      </c>
      <c r="S24" s="69">
        <f t="shared" si="15"/>
        <v>350.36463631983708</v>
      </c>
      <c r="T24" s="70">
        <f t="shared" si="10"/>
        <v>-0.89877262272148073</v>
      </c>
    </row>
    <row r="25" spans="1:20" x14ac:dyDescent="0.2">
      <c r="A25">
        <f t="shared" si="11"/>
        <v>21</v>
      </c>
      <c r="B25" s="2">
        <f t="shared" si="12"/>
        <v>10400</v>
      </c>
      <c r="C25" s="4">
        <f t="shared" si="16"/>
        <v>54.237761599999999</v>
      </c>
      <c r="D25" s="4">
        <f t="shared" si="0"/>
        <v>10345.762238400001</v>
      </c>
      <c r="E25" s="4">
        <f t="shared" si="17"/>
        <v>112.38653610817855</v>
      </c>
      <c r="F25" s="4">
        <f t="shared" si="1"/>
        <v>10233.375702291822</v>
      </c>
      <c r="G25" s="4">
        <f t="shared" si="18"/>
        <v>158.72257882373006</v>
      </c>
      <c r="H25" s="4">
        <f t="shared" si="2"/>
        <v>10074.653123468092</v>
      </c>
      <c r="I25" s="4">
        <f t="shared" si="19"/>
        <v>43.190917386354251</v>
      </c>
      <c r="J25" s="70">
        <f t="shared" si="3"/>
        <v>368.53779391826288</v>
      </c>
      <c r="K25" s="69">
        <f t="shared" si="20"/>
        <v>342.73293137029606</v>
      </c>
      <c r="L25" s="70">
        <f t="shared" si="5"/>
        <v>25.80486254796682</v>
      </c>
      <c r="M25" s="67">
        <f t="shared" si="6"/>
        <v>3.5436326338294508E-2</v>
      </c>
      <c r="N25" s="67">
        <f t="shared" si="7"/>
        <v>4.5096438338196848E-2</v>
      </c>
      <c r="O25" s="68">
        <f t="shared" si="13"/>
        <v>-9.6601119999023405E-3</v>
      </c>
      <c r="P25" s="67">
        <f t="shared" si="8"/>
        <v>3.5383359311508294E-2</v>
      </c>
      <c r="Q25" s="68">
        <f t="shared" si="14"/>
        <v>5.2967026786213123E-5</v>
      </c>
      <c r="R25" s="67">
        <f t="shared" si="9"/>
        <v>3.2955089554836156E-2</v>
      </c>
      <c r="S25" s="69">
        <f t="shared" si="15"/>
        <v>367.98693683968628</v>
      </c>
      <c r="T25" s="70">
        <f t="shared" si="10"/>
        <v>0.55085707857659827</v>
      </c>
    </row>
    <row r="26" spans="1:20" x14ac:dyDescent="0.2">
      <c r="A26">
        <f t="shared" si="11"/>
        <v>22</v>
      </c>
      <c r="B26" s="2">
        <f t="shared" si="12"/>
        <v>10800</v>
      </c>
      <c r="C26" s="4">
        <f t="shared" si="16"/>
        <v>57.135886400000004</v>
      </c>
      <c r="D26" s="4">
        <f t="shared" si="0"/>
        <v>10742.864113600001</v>
      </c>
      <c r="E26" s="4">
        <f t="shared" si="17"/>
        <v>121.17958583143846</v>
      </c>
      <c r="F26" s="4">
        <f t="shared" si="1"/>
        <v>10621.684527768562</v>
      </c>
      <c r="G26" s="4">
        <f t="shared" si="18"/>
        <v>163.48270310153211</v>
      </c>
      <c r="H26" s="4">
        <f t="shared" si="2"/>
        <v>10458.20182466703</v>
      </c>
      <c r="I26" s="4">
        <f t="shared" si="19"/>
        <v>46.542130757559953</v>
      </c>
      <c r="J26" s="4">
        <f t="shared" si="3"/>
        <v>388.34030609053053</v>
      </c>
      <c r="K26" s="15">
        <f t="shared" si="20"/>
        <v>355.91496719223051</v>
      </c>
      <c r="L26" s="4">
        <f t="shared" si="5"/>
        <v>32.425338898300026</v>
      </c>
      <c r="M26" s="17">
        <f t="shared" si="6"/>
        <v>3.5957435749123197E-2</v>
      </c>
      <c r="N26" s="17">
        <f t="shared" si="7"/>
        <v>4.6830916735819801E-2</v>
      </c>
      <c r="O26" s="20">
        <f t="shared" si="13"/>
        <v>-1.0873480986696604E-2</v>
      </c>
      <c r="P26" s="17">
        <f t="shared" si="8"/>
        <v>3.5730254991032884E-2</v>
      </c>
      <c r="Q26" s="20">
        <f t="shared" si="14"/>
        <v>2.2718075809031318E-4</v>
      </c>
      <c r="R26" s="17">
        <f t="shared" si="9"/>
        <v>3.2955089554836156E-2</v>
      </c>
      <c r="S26" s="15">
        <f t="shared" si="15"/>
        <v>385.88675390315512</v>
      </c>
      <c r="T26" s="4">
        <f t="shared" si="10"/>
        <v>2.4535521873754078</v>
      </c>
    </row>
    <row r="27" spans="1:20" x14ac:dyDescent="0.2">
      <c r="A27">
        <f t="shared" si="11"/>
        <v>23</v>
      </c>
      <c r="B27" s="2">
        <f t="shared" si="12"/>
        <v>11200</v>
      </c>
      <c r="C27" s="4">
        <f t="shared" si="16"/>
        <v>60.143374399999999</v>
      </c>
      <c r="D27" s="4">
        <f t="shared" si="0"/>
        <v>11139.856625599999</v>
      </c>
      <c r="E27" s="4">
        <f t="shared" si="17"/>
        <v>130.30122592087039</v>
      </c>
      <c r="F27" s="4">
        <f t="shared" si="1"/>
        <v>11009.55539967913</v>
      </c>
      <c r="G27" s="4">
        <f t="shared" si="18"/>
        <v>168.41442027595934</v>
      </c>
      <c r="H27" s="4">
        <f t="shared" si="2"/>
        <v>10841.14097940317</v>
      </c>
      <c r="I27" s="4">
        <f t="shared" si="19"/>
        <v>50.012919677175432</v>
      </c>
      <c r="J27" s="4">
        <f t="shared" si="3"/>
        <v>408.87194027400517</v>
      </c>
      <c r="K27" s="15">
        <f t="shared" si="20"/>
        <v>369.09700301416495</v>
      </c>
      <c r="L27" s="4">
        <f t="shared" si="5"/>
        <v>39.774937259840215</v>
      </c>
      <c r="M27" s="17">
        <f t="shared" si="6"/>
        <v>3.650642323875046E-2</v>
      </c>
      <c r="N27" s="17">
        <f t="shared" si="7"/>
        <v>4.8565395133442754E-2</v>
      </c>
      <c r="O27" s="20">
        <f t="shared" si="13"/>
        <v>-1.2058971894692294E-2</v>
      </c>
      <c r="P27" s="17">
        <f t="shared" si="8"/>
        <v>3.6077150670557473E-2</v>
      </c>
      <c r="Q27" s="20">
        <f t="shared" si="14"/>
        <v>4.2927256819298709E-4</v>
      </c>
      <c r="R27" s="17">
        <f t="shared" si="9"/>
        <v>3.2955089554836156E-2</v>
      </c>
      <c r="S27" s="15">
        <f t="shared" si="15"/>
        <v>404.06408751024372</v>
      </c>
      <c r="T27" s="4">
        <f t="shared" si="10"/>
        <v>4.8078527637614457</v>
      </c>
    </row>
    <row r="28" spans="1:20" x14ac:dyDescent="0.2">
      <c r="A28">
        <f t="shared" si="11"/>
        <v>24</v>
      </c>
      <c r="B28" s="2">
        <f t="shared" si="12"/>
        <v>11600</v>
      </c>
      <c r="C28" s="4">
        <f t="shared" si="16"/>
        <v>63.260225599999998</v>
      </c>
      <c r="D28" s="4">
        <f t="shared" si="0"/>
        <v>11536.739774400001</v>
      </c>
      <c r="E28" s="4">
        <f t="shared" si="17"/>
        <v>139.75118285333411</v>
      </c>
      <c r="F28" s="4">
        <f t="shared" si="1"/>
        <v>11396.988591546668</v>
      </c>
      <c r="G28" s="4">
        <f t="shared" si="18"/>
        <v>173.51713491624562</v>
      </c>
      <c r="H28" s="4">
        <f t="shared" si="2"/>
        <v>11223.471456630421</v>
      </c>
      <c r="I28" s="4">
        <f t="shared" si="19"/>
        <v>53.602696481302168</v>
      </c>
      <c r="J28" s="4">
        <f t="shared" si="3"/>
        <v>430.13123985088197</v>
      </c>
      <c r="K28" s="15">
        <f t="shared" si="20"/>
        <v>382.27903883609946</v>
      </c>
      <c r="L28" s="4">
        <f t="shared" si="5"/>
        <v>47.852201014782509</v>
      </c>
      <c r="M28" s="17">
        <f t="shared" si="6"/>
        <v>3.7080279297489825E-2</v>
      </c>
      <c r="N28" s="17">
        <f t="shared" si="7"/>
        <v>5.0299873531065714E-2</v>
      </c>
      <c r="O28" s="20">
        <f t="shared" si="13"/>
        <v>-1.3219594233575889E-2</v>
      </c>
      <c r="P28" s="17">
        <f t="shared" si="8"/>
        <v>3.6424046350082062E-2</v>
      </c>
      <c r="Q28" s="20">
        <f t="shared" si="14"/>
        <v>6.56232947407763E-4</v>
      </c>
      <c r="R28" s="17">
        <f t="shared" si="9"/>
        <v>3.2955089554836156E-2</v>
      </c>
      <c r="S28" s="15">
        <f t="shared" si="15"/>
        <v>422.51893766095191</v>
      </c>
      <c r="T28" s="4">
        <f t="shared" si="10"/>
        <v>7.6123021899300625</v>
      </c>
    </row>
    <row r="29" spans="1:20" x14ac:dyDescent="0.2">
      <c r="A29">
        <f t="shared" si="11"/>
        <v>25</v>
      </c>
      <c r="B29" s="2">
        <f t="shared" si="12"/>
        <v>12000</v>
      </c>
      <c r="C29" s="4">
        <f t="shared" si="16"/>
        <v>66.486440000000002</v>
      </c>
      <c r="D29" s="4">
        <f t="shared" si="0"/>
        <v>11933.513559999999</v>
      </c>
      <c r="E29" s="4">
        <f t="shared" si="17"/>
        <v>149.52918318103906</v>
      </c>
      <c r="F29" s="4">
        <f t="shared" si="1"/>
        <v>11783.98437681896</v>
      </c>
      <c r="G29" s="4">
        <f t="shared" si="18"/>
        <v>178.79025276479203</v>
      </c>
      <c r="H29" s="4">
        <f t="shared" si="2"/>
        <v>11605.194124054169</v>
      </c>
      <c r="I29" s="4">
        <f t="shared" si="19"/>
        <v>57.310875571526608</v>
      </c>
      <c r="J29" s="4">
        <f t="shared" si="3"/>
        <v>452.11675151735767</v>
      </c>
      <c r="K29" s="15">
        <f t="shared" si="20"/>
        <v>395.46107465803391</v>
      </c>
      <c r="L29" s="4">
        <f t="shared" si="5"/>
        <v>56.655676859323762</v>
      </c>
      <c r="M29" s="17">
        <f t="shared" si="6"/>
        <v>3.7676395959779806E-2</v>
      </c>
      <c r="N29" s="17">
        <f t="shared" si="7"/>
        <v>5.2034351928688667E-2</v>
      </c>
      <c r="O29" s="20">
        <f t="shared" si="13"/>
        <v>-1.4357955968908861E-2</v>
      </c>
      <c r="P29" s="17">
        <f t="shared" si="8"/>
        <v>3.6770942029606658E-2</v>
      </c>
      <c r="Q29" s="20">
        <f t="shared" si="14"/>
        <v>9.0545393017314735E-4</v>
      </c>
      <c r="R29" s="17">
        <f t="shared" si="9"/>
        <v>3.2955089554836156E-2</v>
      </c>
      <c r="S29" s="15">
        <f t="shared" si="15"/>
        <v>441.2513043552799</v>
      </c>
      <c r="T29" s="4">
        <f t="shared" si="10"/>
        <v>10.865447162077771</v>
      </c>
    </row>
    <row r="30" spans="1:20" x14ac:dyDescent="0.2">
      <c r="A30">
        <f t="shared" si="11"/>
        <v>26</v>
      </c>
      <c r="B30" s="2">
        <f t="shared" si="12"/>
        <v>12400</v>
      </c>
      <c r="C30" s="4">
        <f t="shared" si="16"/>
        <v>69.822017600000009</v>
      </c>
      <c r="D30" s="4">
        <f t="shared" si="0"/>
        <v>12330.1779824</v>
      </c>
      <c r="E30" s="4">
        <f t="shared" si="17"/>
        <v>159.63495353154482</v>
      </c>
      <c r="F30" s="4">
        <f t="shared" si="1"/>
        <v>12170.543028868457</v>
      </c>
      <c r="G30" s="4">
        <f t="shared" si="18"/>
        <v>184.23318073558917</v>
      </c>
      <c r="H30" s="4">
        <f t="shared" si="2"/>
        <v>11986.309848132867</v>
      </c>
      <c r="I30" s="4">
        <f t="shared" si="19"/>
        <v>61.136873408413493</v>
      </c>
      <c r="J30" s="4">
        <f t="shared" si="3"/>
        <v>474.8270252755475</v>
      </c>
      <c r="K30" s="15">
        <f t="shared" si="20"/>
        <v>408.64311047996836</v>
      </c>
      <c r="L30" s="4">
        <f t="shared" si="5"/>
        <v>66.183914795579142</v>
      </c>
      <c r="M30" s="17">
        <f t="shared" si="6"/>
        <v>3.8292502038350607E-2</v>
      </c>
      <c r="N30" s="17">
        <f t="shared" si="7"/>
        <v>5.376883032631162E-2</v>
      </c>
      <c r="O30" s="20">
        <f t="shared" si="13"/>
        <v>-1.5476328287961014E-2</v>
      </c>
      <c r="P30" s="17">
        <f t="shared" si="8"/>
        <v>3.7117837709131248E-2</v>
      </c>
      <c r="Q30" s="20">
        <f t="shared" si="14"/>
        <v>1.174664329219359E-3</v>
      </c>
      <c r="R30" s="17">
        <f t="shared" si="9"/>
        <v>3.2955089554836156E-2</v>
      </c>
      <c r="S30" s="15">
        <f t="shared" si="15"/>
        <v>460.26118759322748</v>
      </c>
      <c r="T30" s="4">
        <f t="shared" si="10"/>
        <v>14.565837682320023</v>
      </c>
    </row>
    <row r="31" spans="1:20" x14ac:dyDescent="0.2">
      <c r="A31" s="5">
        <f t="shared" si="11"/>
        <v>27</v>
      </c>
      <c r="B31" s="2">
        <f t="shared" si="12"/>
        <v>12800</v>
      </c>
      <c r="C31" s="4">
        <f t="shared" si="16"/>
        <v>73.266958399999993</v>
      </c>
      <c r="D31" s="4">
        <f t="shared" si="0"/>
        <v>12726.7330416</v>
      </c>
      <c r="E31" s="4">
        <f t="shared" si="17"/>
        <v>170.06822060776085</v>
      </c>
      <c r="F31" s="4">
        <f t="shared" si="1"/>
        <v>12556.664820992239</v>
      </c>
      <c r="G31" s="4">
        <f t="shared" si="18"/>
        <v>189.84532691264016</v>
      </c>
      <c r="H31" s="4">
        <f t="shared" si="2"/>
        <v>12366.819494079598</v>
      </c>
      <c r="I31" s="4">
        <f t="shared" si="19"/>
        <v>65.08010850501789</v>
      </c>
      <c r="J31" s="15">
        <f t="shared" si="3"/>
        <v>498.26061442541891</v>
      </c>
      <c r="K31" s="15">
        <f t="shared" si="20"/>
        <v>421.82514630190281</v>
      </c>
      <c r="L31" s="4">
        <f t="shared" si="5"/>
        <v>76.435468123516102</v>
      </c>
      <c r="M31" s="17">
        <f t="shared" si="6"/>
        <v>3.8926610501985849E-2</v>
      </c>
      <c r="N31" s="17">
        <f t="shared" si="7"/>
        <v>5.5503308723934573E-2</v>
      </c>
      <c r="O31" s="20">
        <f t="shared" si="13"/>
        <v>-1.6576698221948724E-2</v>
      </c>
      <c r="P31" s="17">
        <f t="shared" si="8"/>
        <v>3.7464733388655837E-2</v>
      </c>
      <c r="Q31" s="20">
        <f t="shared" si="14"/>
        <v>1.4618771133300124E-3</v>
      </c>
      <c r="R31" s="17">
        <f t="shared" si="9"/>
        <v>3.2955089554836156E-2</v>
      </c>
      <c r="S31" s="15">
        <f t="shared" si="15"/>
        <v>479.54858737479469</v>
      </c>
      <c r="T31" s="4">
        <f t="shared" si="10"/>
        <v>18.712027050624215</v>
      </c>
    </row>
    <row r="32" spans="1:20" x14ac:dyDescent="0.2">
      <c r="B32" s="2" t="s">
        <v>160</v>
      </c>
      <c r="C32" s="20">
        <f>+C31/B31</f>
        <v>5.7239811249999994E-3</v>
      </c>
      <c r="E32" s="20">
        <f>+E31/D31</f>
        <v>1.3363069693680001E-2</v>
      </c>
      <c r="F32" s="21"/>
      <c r="G32" s="20">
        <f>+G31/F31</f>
        <v>1.5119088517458605E-2</v>
      </c>
      <c r="I32" s="20">
        <f>+I31/H31</f>
        <v>5.2624774329546788E-3</v>
      </c>
    </row>
    <row r="33" spans="1:19" x14ac:dyDescent="0.2">
      <c r="B33" s="2">
        <v>400</v>
      </c>
      <c r="C33" s="27"/>
    </row>
    <row r="34" spans="1:19" x14ac:dyDescent="0.2">
      <c r="B34" s="3" t="s">
        <v>120</v>
      </c>
      <c r="C34" s="27"/>
      <c r="D34" s="3" t="s">
        <v>121</v>
      </c>
      <c r="F34" s="3" t="s">
        <v>122</v>
      </c>
      <c r="G34" s="3"/>
      <c r="H34" s="3" t="s">
        <v>123</v>
      </c>
    </row>
    <row r="35" spans="1:19" x14ac:dyDescent="0.2">
      <c r="B35" s="33" t="s">
        <v>124</v>
      </c>
      <c r="C35" s="34" t="s">
        <v>125</v>
      </c>
      <c r="D35" s="33" t="s">
        <v>124</v>
      </c>
      <c r="E35" s="34" t="s">
        <v>125</v>
      </c>
      <c r="F35" s="33" t="s">
        <v>124</v>
      </c>
      <c r="G35" s="34" t="s">
        <v>125</v>
      </c>
      <c r="H35" s="33" t="s">
        <v>124</v>
      </c>
      <c r="I35" s="34" t="s">
        <v>125</v>
      </c>
    </row>
    <row r="36" spans="1:19" x14ac:dyDescent="0.2">
      <c r="B36" s="65">
        <f>+B38</f>
        <v>17.273</v>
      </c>
      <c r="C36" s="63">
        <f t="shared" ref="C36:I36" si="21">+C38</f>
        <v>3.4176000000000001E-7</v>
      </c>
      <c r="D36" s="65">
        <f t="shared" si="21"/>
        <v>0</v>
      </c>
      <c r="E36" s="63">
        <f t="shared" si="21"/>
        <v>1.0499999999999999E-6</v>
      </c>
      <c r="F36" s="65">
        <f t="shared" si="21"/>
        <v>97.167000000000002</v>
      </c>
      <c r="G36" s="63">
        <f t="shared" si="21"/>
        <v>5.8780000000000001E-7</v>
      </c>
      <c r="H36" s="65">
        <f t="shared" si="21"/>
        <v>0</v>
      </c>
      <c r="I36" s="66">
        <f t="shared" si="21"/>
        <v>4.2553199999999998E-7</v>
      </c>
    </row>
    <row r="37" spans="1:19" x14ac:dyDescent="0.2">
      <c r="B37" s="28"/>
      <c r="C37" s="29"/>
      <c r="D37" s="28"/>
      <c r="E37" s="29"/>
      <c r="F37" s="28"/>
      <c r="G37" s="29"/>
      <c r="H37" s="28"/>
      <c r="I37" s="29"/>
    </row>
    <row r="38" spans="1:19" x14ac:dyDescent="0.2">
      <c r="B38" s="28">
        <v>17.273</v>
      </c>
      <c r="C38" s="29">
        <v>3.4176000000000001E-7</v>
      </c>
      <c r="D38" s="53">
        <v>0</v>
      </c>
      <c r="E38" s="35">
        <v>1.0499999999999999E-6</v>
      </c>
      <c r="F38" s="38">
        <v>97.167000000000002</v>
      </c>
      <c r="G38" s="29">
        <v>5.8780000000000001E-7</v>
      </c>
      <c r="H38" s="53">
        <v>0</v>
      </c>
      <c r="I38" s="29">
        <v>4.2553199999999998E-7</v>
      </c>
      <c r="J38" s="2">
        <v>1995</v>
      </c>
    </row>
    <row r="39" spans="1:19" x14ac:dyDescent="0.2">
      <c r="B39" s="38" t="e">
        <f>+#REF!</f>
        <v>#REF!</v>
      </c>
      <c r="C39" s="64" t="e">
        <f>+#REF!</f>
        <v>#REF!</v>
      </c>
      <c r="D39" s="53" t="e">
        <f>+#REF!</f>
        <v>#REF!</v>
      </c>
      <c r="E39" s="64" t="e">
        <f>+#REF!</f>
        <v>#REF!</v>
      </c>
      <c r="F39" s="38" t="e">
        <f>+#REF!</f>
        <v>#REF!</v>
      </c>
      <c r="G39" s="64" t="e">
        <f>+#REF!</f>
        <v>#REF!</v>
      </c>
      <c r="H39" s="53" t="e">
        <f>+#REF!</f>
        <v>#REF!</v>
      </c>
      <c r="I39" s="40" t="e">
        <f>+#REF!</f>
        <v>#REF!</v>
      </c>
      <c r="J39" s="2">
        <v>2001</v>
      </c>
    </row>
    <row r="40" spans="1:19" x14ac:dyDescent="0.2">
      <c r="B40" s="38" t="e">
        <f>+'Loss Analysis 2001 Mod'!B40</f>
        <v>#REF!</v>
      </c>
      <c r="C40" s="64" t="e">
        <f>+'Loss Analysis 2001 Mod'!C40</f>
        <v>#REF!</v>
      </c>
      <c r="D40" s="53">
        <f>+'Loss Analysis 2001 Mod'!D40</f>
        <v>0</v>
      </c>
      <c r="E40" s="64">
        <f>+'Loss Analysis 2001 Mod'!E40</f>
        <v>1.4130000000000001E-6</v>
      </c>
      <c r="F40" s="38" t="e">
        <f>+'Loss Analysis 2001 Mod'!F40</f>
        <v>#REF!</v>
      </c>
      <c r="G40" s="64" t="e">
        <f>+'Loss Analysis 2001 Mod'!G40</f>
        <v>#REF!</v>
      </c>
      <c r="H40" s="53">
        <f>+'Loss Analysis 2001 Mod'!H40</f>
        <v>0</v>
      </c>
      <c r="I40" s="40" t="e">
        <f>+'Loss Analysis 2001 Mod'!I40</f>
        <v>#REF!</v>
      </c>
      <c r="J40" s="2" t="s">
        <v>126</v>
      </c>
    </row>
    <row r="41" spans="1:19" x14ac:dyDescent="0.2">
      <c r="B41" s="38"/>
      <c r="C41" s="29"/>
      <c r="D41" s="28"/>
      <c r="E41" s="29"/>
      <c r="F41" s="28"/>
      <c r="G41" s="29"/>
      <c r="H41" s="28"/>
      <c r="I41" s="29"/>
    </row>
    <row r="42" spans="1:19" x14ac:dyDescent="0.2">
      <c r="A42" s="3"/>
      <c r="B42" s="39"/>
      <c r="C42" s="30"/>
      <c r="D42" s="31"/>
      <c r="E42" s="32"/>
      <c r="F42" s="31"/>
      <c r="G42" s="32"/>
      <c r="H42" s="31"/>
      <c r="I42" s="32"/>
      <c r="K42" s="3"/>
      <c r="N42" s="3"/>
      <c r="P42" s="3"/>
      <c r="R42" s="3"/>
      <c r="S42" s="3"/>
    </row>
    <row r="43" spans="1:19" x14ac:dyDescent="0.2">
      <c r="C43" s="4"/>
      <c r="D43" s="4"/>
      <c r="E43" s="4"/>
      <c r="F43" s="4"/>
      <c r="G43" s="4"/>
      <c r="H43" s="4"/>
      <c r="I43" s="4"/>
      <c r="J43" s="4"/>
      <c r="M43" s="4"/>
    </row>
    <row r="44" spans="1:19" x14ac:dyDescent="0.2">
      <c r="A44" s="3"/>
      <c r="B44" s="3"/>
      <c r="C44" s="3"/>
      <c r="K44" s="3"/>
      <c r="N44" s="3"/>
      <c r="P44" s="3"/>
      <c r="R44" s="3"/>
      <c r="S44" s="3"/>
    </row>
    <row r="45" spans="1:19" x14ac:dyDescent="0.2">
      <c r="A45" s="3"/>
      <c r="B45" s="3"/>
      <c r="C45" s="3"/>
      <c r="K45" s="3"/>
      <c r="N45" s="3"/>
      <c r="P45" s="3"/>
      <c r="R45" s="3"/>
      <c r="S45" s="3"/>
    </row>
    <row r="46" spans="1:19" x14ac:dyDescent="0.2">
      <c r="A46" s="3"/>
      <c r="B46" s="3"/>
      <c r="C46" s="3"/>
      <c r="K46" s="3"/>
      <c r="N46" s="3"/>
      <c r="P46" s="3"/>
      <c r="R46" s="3"/>
      <c r="S46" s="3"/>
    </row>
    <row r="47" spans="1:19" x14ac:dyDescent="0.2">
      <c r="A47" s="3"/>
      <c r="B47" s="3"/>
      <c r="C47" s="3"/>
      <c r="K47" s="3"/>
      <c r="N47" s="3"/>
      <c r="P47" s="3"/>
      <c r="R47" s="3"/>
      <c r="S47" s="3"/>
    </row>
    <row r="48" spans="1:19" x14ac:dyDescent="0.2">
      <c r="A48" s="3"/>
      <c r="B48" s="3"/>
      <c r="C48" s="3"/>
      <c r="K48" s="3"/>
      <c r="N48" s="3"/>
      <c r="P48" s="3"/>
      <c r="R48" s="3"/>
      <c r="S48" s="3"/>
    </row>
    <row r="49" spans="1:19" x14ac:dyDescent="0.2">
      <c r="A49" s="3"/>
      <c r="B49" s="3"/>
      <c r="C49" s="3"/>
      <c r="K49" s="3"/>
      <c r="N49" s="3"/>
      <c r="P49" s="3"/>
      <c r="R49" s="3"/>
      <c r="S49" s="3"/>
    </row>
    <row r="50" spans="1:19" x14ac:dyDescent="0.2">
      <c r="A50" s="3"/>
      <c r="B50" s="3"/>
      <c r="C50" s="3"/>
      <c r="K50" s="3"/>
      <c r="N50" s="3"/>
      <c r="P50" s="3"/>
      <c r="R50" s="3"/>
      <c r="S50" s="3"/>
    </row>
    <row r="51" spans="1:19" x14ac:dyDescent="0.2">
      <c r="A51" s="3"/>
      <c r="B51" s="3"/>
      <c r="C51" s="3"/>
      <c r="K51" s="3"/>
      <c r="N51" s="3"/>
      <c r="P51" s="3"/>
      <c r="R51" s="3"/>
      <c r="S51" s="3"/>
    </row>
    <row r="52" spans="1:19" x14ac:dyDescent="0.2">
      <c r="A52" s="3"/>
      <c r="B52" s="3"/>
      <c r="C52" s="3"/>
      <c r="K52" s="3"/>
      <c r="N52" s="3"/>
      <c r="P52" s="3"/>
      <c r="R52" s="3"/>
      <c r="S52" s="3"/>
    </row>
    <row r="53" spans="1:19" x14ac:dyDescent="0.2">
      <c r="A53" s="3"/>
      <c r="B53" s="3"/>
      <c r="C53" s="3"/>
      <c r="K53" s="3"/>
      <c r="N53" s="3"/>
      <c r="P53" s="3"/>
      <c r="R53" s="3"/>
      <c r="S53" s="3"/>
    </row>
  </sheetData>
  <phoneticPr fontId="13" type="noConversion"/>
  <pageMargins left="0.25" right="0.25" top="0.75" bottom="0.75" header="0" footer="0"/>
  <pageSetup paperSize="5" scale="61" orientation="landscape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158"/>
  <sheetViews>
    <sheetView zoomScale="60" zoomScaleNormal="60" workbookViewId="0">
      <pane ySplit="4" topLeftCell="A8" activePane="bottomLeft" state="frozen"/>
      <selection pane="bottomLeft" activeCell="E72" sqref="E72"/>
    </sheetView>
  </sheetViews>
  <sheetFormatPr defaultRowHeight="12.75" x14ac:dyDescent="0.2"/>
  <cols>
    <col min="1" max="1" width="13.5703125" customWidth="1"/>
    <col min="2" max="2" width="25.42578125" style="2" bestFit="1" customWidth="1"/>
    <col min="3" max="3" width="7.5703125" style="2" customWidth="1"/>
    <col min="4" max="5" width="10.7109375" customWidth="1"/>
    <col min="6" max="6" width="23.5703125" customWidth="1"/>
    <col min="7" max="7" width="13.28515625" customWidth="1"/>
    <col min="8" max="8" width="12.28515625" customWidth="1"/>
    <col min="9" max="9" width="10.42578125" customWidth="1"/>
    <col min="10" max="10" width="13.7109375" customWidth="1"/>
    <col min="11" max="11" width="15" customWidth="1"/>
    <col min="12" max="12" width="16.140625" customWidth="1"/>
    <col min="13" max="13" width="13" customWidth="1"/>
    <col min="14" max="14" width="14.85546875" customWidth="1"/>
    <col min="15" max="15" width="12.85546875" customWidth="1"/>
    <col min="16" max="16" width="23.42578125" bestFit="1" customWidth="1"/>
    <col min="17" max="17" width="15.7109375" bestFit="1" customWidth="1"/>
    <col min="18" max="18" width="15.85546875" style="1" customWidth="1"/>
    <col min="19" max="19" width="14.42578125" style="1" customWidth="1"/>
    <col min="20" max="20" width="17.5703125" customWidth="1"/>
    <col min="21" max="21" width="12.5703125" bestFit="1" customWidth="1"/>
    <col min="22" max="22" width="11.5703125" customWidth="1"/>
    <col min="23" max="23" width="13.42578125" customWidth="1"/>
    <col min="25" max="25" width="15.140625" bestFit="1" customWidth="1"/>
    <col min="27" max="28" width="10.85546875" style="2" customWidth="1"/>
  </cols>
  <sheetData>
    <row r="1" spans="1:78" ht="15.75" customHeight="1" x14ac:dyDescent="0.2">
      <c r="A1" s="3"/>
      <c r="C1" s="449" t="s">
        <v>161</v>
      </c>
      <c r="D1" s="449"/>
      <c r="E1" s="449"/>
      <c r="F1" s="449"/>
      <c r="G1" s="449"/>
      <c r="H1" s="117"/>
      <c r="I1" s="6"/>
      <c r="J1" s="137"/>
      <c r="L1" s="3"/>
      <c r="M1" s="2"/>
      <c r="N1" s="2"/>
      <c r="O1" s="2"/>
      <c r="P1" s="6" t="s">
        <v>162</v>
      </c>
      <c r="Q1" s="6" t="s">
        <v>163</v>
      </c>
      <c r="R1" s="213" t="s">
        <v>164</v>
      </c>
      <c r="S1" s="140"/>
      <c r="T1" s="6" t="s">
        <v>162</v>
      </c>
      <c r="U1" s="6" t="s">
        <v>163</v>
      </c>
    </row>
    <row r="2" spans="1:78" ht="25.5" customHeight="1" x14ac:dyDescent="0.2">
      <c r="A2" s="8" t="s">
        <v>48</v>
      </c>
      <c r="B2" s="8" t="s">
        <v>48</v>
      </c>
      <c r="C2" s="8"/>
      <c r="D2" s="8" t="s">
        <v>47</v>
      </c>
      <c r="E2" s="8" t="s">
        <v>47</v>
      </c>
      <c r="F2" s="8"/>
      <c r="G2" s="8" t="s">
        <v>139</v>
      </c>
      <c r="H2" s="105" t="s">
        <v>165</v>
      </c>
      <c r="I2" s="149" t="s">
        <v>166</v>
      </c>
      <c r="J2" s="149" t="s">
        <v>166</v>
      </c>
      <c r="K2" s="8"/>
      <c r="L2" s="8"/>
      <c r="M2" s="8"/>
      <c r="N2" s="105" t="s">
        <v>167</v>
      </c>
      <c r="O2" s="8"/>
      <c r="P2" s="105"/>
      <c r="Q2" s="105"/>
      <c r="R2" s="8"/>
      <c r="S2" s="8"/>
      <c r="T2" s="149" t="s">
        <v>166</v>
      </c>
      <c r="U2" s="378"/>
      <c r="V2" s="142" t="s">
        <v>168</v>
      </c>
      <c r="W2" s="86"/>
      <c r="AA2" s="2">
        <v>2008</v>
      </c>
      <c r="AB2" s="2">
        <v>2008</v>
      </c>
    </row>
    <row r="3" spans="1:78" s="146" customFormat="1" ht="25.5" customHeight="1" x14ac:dyDescent="0.2">
      <c r="A3" s="96" t="s">
        <v>169</v>
      </c>
      <c r="B3" s="96" t="s">
        <v>170</v>
      </c>
      <c r="C3" s="96"/>
      <c r="D3" s="157" t="s">
        <v>169</v>
      </c>
      <c r="E3" s="96" t="s">
        <v>171</v>
      </c>
      <c r="F3" s="96" t="s">
        <v>172</v>
      </c>
      <c r="G3" s="96" t="s">
        <v>146</v>
      </c>
      <c r="H3" s="96" t="s">
        <v>173</v>
      </c>
      <c r="I3" s="150" t="s">
        <v>174</v>
      </c>
      <c r="J3" s="150" t="s">
        <v>175</v>
      </c>
      <c r="K3" s="96" t="s">
        <v>148</v>
      </c>
      <c r="L3" s="96" t="s">
        <v>149</v>
      </c>
      <c r="M3" s="96" t="s">
        <v>176</v>
      </c>
      <c r="N3" s="96" t="s">
        <v>177</v>
      </c>
      <c r="O3" s="96" t="s">
        <v>132</v>
      </c>
      <c r="P3" s="96" t="s">
        <v>132</v>
      </c>
      <c r="Q3" s="96" t="s">
        <v>132</v>
      </c>
      <c r="R3" s="96" t="s">
        <v>178</v>
      </c>
      <c r="S3" s="96" t="s">
        <v>178</v>
      </c>
      <c r="T3" s="150" t="s">
        <v>175</v>
      </c>
      <c r="U3" s="210" t="s">
        <v>175</v>
      </c>
      <c r="V3" s="143" t="s">
        <v>179</v>
      </c>
      <c r="W3" s="144" t="s">
        <v>180</v>
      </c>
      <c r="X3"/>
      <c r="Y3"/>
      <c r="Z3"/>
      <c r="AA3" s="145" t="s">
        <v>181</v>
      </c>
      <c r="AB3" s="145" t="s">
        <v>182</v>
      </c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</row>
    <row r="4" spans="1:78" x14ac:dyDescent="0.2">
      <c r="A4" s="13"/>
      <c r="B4" s="14"/>
      <c r="C4" s="14"/>
      <c r="D4" s="13"/>
      <c r="E4" s="23" t="s">
        <v>133</v>
      </c>
      <c r="F4" s="23" t="s">
        <v>133</v>
      </c>
      <c r="G4" s="23" t="s">
        <v>133</v>
      </c>
      <c r="H4" s="23" t="s">
        <v>133</v>
      </c>
      <c r="I4" s="14"/>
      <c r="J4" s="14"/>
      <c r="K4" s="23" t="s">
        <v>133</v>
      </c>
      <c r="L4" s="23" t="s">
        <v>133</v>
      </c>
      <c r="M4" s="23" t="s">
        <v>133</v>
      </c>
      <c r="N4" s="23" t="s">
        <v>133</v>
      </c>
      <c r="O4" s="23" t="s">
        <v>133</v>
      </c>
      <c r="P4" s="208" t="s">
        <v>134</v>
      </c>
      <c r="Q4" s="208" t="s">
        <v>134</v>
      </c>
      <c r="R4" s="23" t="s">
        <v>167</v>
      </c>
      <c r="S4" s="23" t="s">
        <v>165</v>
      </c>
      <c r="T4" s="14"/>
      <c r="U4" s="211"/>
    </row>
    <row r="5" spans="1:78" x14ac:dyDescent="0.2">
      <c r="A5" s="6" t="s">
        <v>183</v>
      </c>
      <c r="E5" s="2"/>
      <c r="F5" s="119"/>
      <c r="G5" s="2"/>
      <c r="H5" s="2"/>
      <c r="I5" s="2"/>
      <c r="J5" s="79"/>
      <c r="K5" s="2"/>
      <c r="L5" s="2"/>
      <c r="M5" s="2"/>
      <c r="N5" s="2"/>
      <c r="O5" s="147"/>
      <c r="P5" s="2"/>
      <c r="Q5" s="138">
        <v>0</v>
      </c>
      <c r="T5" s="212"/>
      <c r="U5" s="138">
        <f>Q5</f>
        <v>0</v>
      </c>
    </row>
    <row r="6" spans="1:78" x14ac:dyDescent="0.2">
      <c r="E6" s="2"/>
      <c r="G6" s="4"/>
      <c r="H6" s="4"/>
      <c r="I6" s="4"/>
      <c r="J6" s="4"/>
      <c r="K6" s="4"/>
      <c r="L6" s="4"/>
      <c r="M6" s="4"/>
      <c r="N6" s="4"/>
      <c r="P6" s="20"/>
      <c r="Q6" s="20"/>
      <c r="T6" s="104"/>
    </row>
    <row r="7" spans="1:78" x14ac:dyDescent="0.2">
      <c r="D7" s="216"/>
      <c r="E7" s="217">
        <v>50</v>
      </c>
      <c r="F7" s="4">
        <f t="shared" ref="F7:F52" si="0">$E$71+$F$71*E7*E7</f>
        <v>18.835376475</v>
      </c>
      <c r="G7" s="4">
        <f>+E7-F7</f>
        <v>31.164623525</v>
      </c>
      <c r="H7" s="4">
        <f t="shared" ref="H7:H39" si="1">$H$71*G7*G7</f>
        <v>1.1066140331854135E-3</v>
      </c>
      <c r="I7" s="4">
        <f t="shared" ref="I7:I52" si="2">+H7+F7</f>
        <v>18.836483089033187</v>
      </c>
      <c r="J7" s="20">
        <f>+I7/E7</f>
        <v>0.37672966178066375</v>
      </c>
      <c r="K7" s="4">
        <f>+G7-H7</f>
        <v>31.163516910966813</v>
      </c>
      <c r="L7" s="4">
        <f t="shared" ref="L7:L51" si="3">$K$71+$L$71*K7*K7</f>
        <v>170.54535311454509</v>
      </c>
      <c r="M7" s="4">
        <f>+K7-L7</f>
        <v>-139.38183620357827</v>
      </c>
      <c r="N7" s="4">
        <f t="shared" ref="N7:N51" si="4">$N$71*M7*M7</f>
        <v>6.8861994335535194E-3</v>
      </c>
      <c r="O7" s="15">
        <f t="shared" ref="O7:O52" si="5">+F7+H7+L7+N7</f>
        <v>189.38872240301183</v>
      </c>
      <c r="P7" s="220">
        <f t="shared" ref="P7:P52" si="6">O7/E7</f>
        <v>3.7877744480602367</v>
      </c>
      <c r="Q7" s="220">
        <f t="shared" ref="Q7:Q24" si="7">P7*(1+$Q$5)</f>
        <v>3.7877744480602367</v>
      </c>
      <c r="T7" s="216"/>
      <c r="U7" s="216"/>
    </row>
    <row r="8" spans="1:78" x14ac:dyDescent="0.2">
      <c r="D8" s="216"/>
      <c r="E8" s="217">
        <v>135</v>
      </c>
      <c r="F8" s="4">
        <f t="shared" si="0"/>
        <v>18.837744502750002</v>
      </c>
      <c r="G8" s="4">
        <f>+E8-F8</f>
        <v>116.16225549725</v>
      </c>
      <c r="H8" s="4">
        <f t="shared" si="1"/>
        <v>1.5374552208060215E-2</v>
      </c>
      <c r="I8" s="4">
        <f t="shared" si="2"/>
        <v>18.853119054958064</v>
      </c>
      <c r="J8" s="20">
        <f t="shared" ref="J8:J52" si="8">+I8/E8</f>
        <v>0.13965273374043011</v>
      </c>
      <c r="K8" s="4">
        <f>+G8-H8</f>
        <v>116.14688094504194</v>
      </c>
      <c r="L8" s="4">
        <f t="shared" si="3"/>
        <v>170.54990498612568</v>
      </c>
      <c r="M8" s="4">
        <f>+K8-L8</f>
        <v>-54.403024041083739</v>
      </c>
      <c r="N8" s="4">
        <f t="shared" si="4"/>
        <v>1.0490913717358312E-3</v>
      </c>
      <c r="O8" s="15">
        <f t="shared" si="5"/>
        <v>189.40407313245547</v>
      </c>
      <c r="P8" s="220">
        <f t="shared" si="6"/>
        <v>1.402993134314485</v>
      </c>
      <c r="Q8" s="220">
        <f t="shared" si="7"/>
        <v>1.402993134314485</v>
      </c>
      <c r="T8" s="216"/>
      <c r="U8" s="216"/>
    </row>
    <row r="9" spans="1:78" x14ac:dyDescent="0.2">
      <c r="D9" s="216"/>
      <c r="E9" s="217">
        <v>500</v>
      </c>
      <c r="F9" s="4">
        <f t="shared" si="0"/>
        <v>18.872647499999999</v>
      </c>
      <c r="G9" s="4">
        <f>+E9-F9</f>
        <v>481.12735250000003</v>
      </c>
      <c r="H9" s="4">
        <f t="shared" si="1"/>
        <v>0.26375001847608415</v>
      </c>
      <c r="I9" s="4">
        <f t="shared" si="2"/>
        <v>19.136397518476084</v>
      </c>
      <c r="J9" s="20">
        <f t="shared" si="8"/>
        <v>3.8272795036952169E-2</v>
      </c>
      <c r="K9" s="4">
        <f>+G9-H9</f>
        <v>480.86360248152397</v>
      </c>
      <c r="L9" s="4">
        <f t="shared" si="3"/>
        <v>170.62907492557423</v>
      </c>
      <c r="M9" s="4">
        <f>+K9-L9</f>
        <v>310.23452755594974</v>
      </c>
      <c r="N9" s="4">
        <f t="shared" si="4"/>
        <v>3.4115166491664038E-2</v>
      </c>
      <c r="O9" s="15">
        <f t="shared" si="5"/>
        <v>189.79958761054198</v>
      </c>
      <c r="P9" s="220">
        <f t="shared" si="6"/>
        <v>0.37959917522108394</v>
      </c>
      <c r="Q9" s="220">
        <f t="shared" si="7"/>
        <v>0.37959917522108394</v>
      </c>
      <c r="T9" s="216"/>
      <c r="U9" s="216"/>
    </row>
    <row r="10" spans="1:78" x14ac:dyDescent="0.2">
      <c r="A10" s="223">
        <f t="shared" ref="A10:A43" si="9">B10/4</f>
        <v>1498.1949458483755</v>
      </c>
      <c r="B10" s="223">
        <f t="shared" ref="B10:B52" si="10">E10*$B$56/$E$56</f>
        <v>5992.7797833935019</v>
      </c>
      <c r="D10" s="217">
        <f>E10/4</f>
        <v>250</v>
      </c>
      <c r="E10" s="217">
        <v>1000</v>
      </c>
      <c r="F10" s="4">
        <f t="shared" si="0"/>
        <v>18.985590000000002</v>
      </c>
      <c r="G10" s="4">
        <f t="shared" ref="G10:G52" si="11">+E10-F10</f>
        <v>981.01441</v>
      </c>
      <c r="H10" s="4">
        <f t="shared" si="1"/>
        <v>1.0965367133392161</v>
      </c>
      <c r="I10" s="4">
        <f t="shared" si="2"/>
        <v>20.082126713339218</v>
      </c>
      <c r="J10" s="20">
        <f t="shared" si="8"/>
        <v>2.0082126713339216E-2</v>
      </c>
      <c r="K10" s="4">
        <f>+G10-H10</f>
        <v>979.91787328666078</v>
      </c>
      <c r="L10" s="4">
        <f t="shared" si="3"/>
        <v>170.89414195411834</v>
      </c>
      <c r="M10" s="4">
        <f>+K10-L10</f>
        <v>809.02373133254241</v>
      </c>
      <c r="N10" s="4">
        <f t="shared" si="4"/>
        <v>0.23200094576518257</v>
      </c>
      <c r="O10" s="15">
        <f t="shared" si="5"/>
        <v>191.20826961322274</v>
      </c>
      <c r="P10" s="220">
        <f t="shared" si="6"/>
        <v>0.19120826961322274</v>
      </c>
      <c r="Q10" s="220">
        <f t="shared" si="7"/>
        <v>0.19120826961322274</v>
      </c>
      <c r="T10" s="216"/>
      <c r="U10" s="216"/>
    </row>
    <row r="11" spans="1:78" x14ac:dyDescent="0.2">
      <c r="A11" s="223">
        <f t="shared" si="9"/>
        <v>3595.6678700361012</v>
      </c>
      <c r="B11" s="223">
        <f>E11*$B$56/$E$56</f>
        <v>14382.671480144405</v>
      </c>
      <c r="C11" s="73">
        <v>1</v>
      </c>
      <c r="D11" s="217">
        <f t="shared" ref="D11:D52" si="12">E11/4</f>
        <v>600</v>
      </c>
      <c r="E11" s="218">
        <v>2400</v>
      </c>
      <c r="F11" s="4">
        <f t="shared" si="0"/>
        <v>19.7023984</v>
      </c>
      <c r="G11" s="4">
        <f t="shared" si="11"/>
        <v>2380.2976015999998</v>
      </c>
      <c r="H11" s="4">
        <f t="shared" si="1"/>
        <v>6.4555748581182595</v>
      </c>
      <c r="I11" s="4">
        <f t="shared" si="2"/>
        <v>26.157973258118261</v>
      </c>
      <c r="J11" s="20">
        <f t="shared" si="8"/>
        <v>1.0899155524215942E-2</v>
      </c>
      <c r="K11" s="4">
        <f t="shared" ref="K11:K51" si="13">+G11-H11</f>
        <v>2373.8420267418815</v>
      </c>
      <c r="L11" s="4">
        <f t="shared" si="3"/>
        <v>172.59392616681191</v>
      </c>
      <c r="M11" s="4">
        <f t="shared" ref="M11:M37" si="14">+K11-L11</f>
        <v>2201.2481005750697</v>
      </c>
      <c r="N11" s="4">
        <f t="shared" si="4"/>
        <v>1.7175335197731461</v>
      </c>
      <c r="O11" s="15">
        <f t="shared" si="5"/>
        <v>200.46943294470333</v>
      </c>
      <c r="P11" s="220">
        <f t="shared" si="6"/>
        <v>8.3528930393626383E-2</v>
      </c>
      <c r="Q11" s="220">
        <f t="shared" si="7"/>
        <v>8.3528930393626383E-2</v>
      </c>
      <c r="R11" s="141">
        <f t="shared" ref="R11:R52" si="15">$B$143*A11/$A$56+$B$144+$B$145*$A$56/A11</f>
        <v>8.2749790613718399E-2</v>
      </c>
      <c r="S11" s="141">
        <f t="shared" ref="S11:S46" si="16">$S$73*A11/$A$56+$S$74+$S$75*$A$56/A11</f>
        <v>7.7732569945848373E-3</v>
      </c>
      <c r="T11" s="220">
        <f>J11</f>
        <v>1.0899155524215942E-2</v>
      </c>
      <c r="U11" s="220">
        <f t="shared" ref="U11:U24" si="17">T11*(1+$Q$5)</f>
        <v>1.0899155524215942E-2</v>
      </c>
      <c r="X11" s="209"/>
      <c r="Y11" s="209"/>
      <c r="AA11" s="4">
        <f t="shared" ref="AA11:AA19" si="18">I11*(1+$Q$5)</f>
        <v>26.157973258118261</v>
      </c>
      <c r="AB11" s="4">
        <f t="shared" ref="AB11:AB22" si="19">O11*(1+$Q$5)</f>
        <v>200.46943294470333</v>
      </c>
    </row>
    <row r="12" spans="1:78" x14ac:dyDescent="0.2">
      <c r="A12" s="223">
        <f t="shared" si="9"/>
        <v>4194.9458483754515</v>
      </c>
      <c r="B12" s="223">
        <f t="shared" si="10"/>
        <v>16779.783393501806</v>
      </c>
      <c r="C12" s="2">
        <f t="shared" ref="C12:C52" si="20">1+C11</f>
        <v>2</v>
      </c>
      <c r="D12" s="217">
        <f t="shared" si="12"/>
        <v>700</v>
      </c>
      <c r="E12" s="218">
        <v>2800</v>
      </c>
      <c r="F12" s="4">
        <f t="shared" si="0"/>
        <v>20.0156256</v>
      </c>
      <c r="G12" s="4">
        <f t="shared" si="11"/>
        <v>2779.9843744</v>
      </c>
      <c r="H12" s="4">
        <f t="shared" si="1"/>
        <v>8.8055626879709372</v>
      </c>
      <c r="I12" s="4">
        <f t="shared" si="2"/>
        <v>28.821188287970937</v>
      </c>
      <c r="J12" s="20">
        <f t="shared" si="8"/>
        <v>1.0293281531418192E-2</v>
      </c>
      <c r="K12" s="4">
        <f t="shared" si="13"/>
        <v>2771.1788117120291</v>
      </c>
      <c r="L12" s="4">
        <f t="shared" si="3"/>
        <v>173.33723379812471</v>
      </c>
      <c r="M12" s="4">
        <f t="shared" si="14"/>
        <v>2597.8415779139045</v>
      </c>
      <c r="N12" s="4">
        <f t="shared" si="4"/>
        <v>2.3921728650315361</v>
      </c>
      <c r="O12" s="4">
        <f t="shared" si="5"/>
        <v>204.55059495112718</v>
      </c>
      <c r="P12" s="220">
        <f t="shared" si="6"/>
        <v>7.3053783911116846E-2</v>
      </c>
      <c r="Q12" s="220">
        <f t="shared" si="7"/>
        <v>7.3053783911116846E-2</v>
      </c>
      <c r="R12" s="141">
        <f t="shared" si="15"/>
        <v>7.2016470001719096E-2</v>
      </c>
      <c r="S12" s="141">
        <f t="shared" si="16"/>
        <v>7.3734501246346907E-3</v>
      </c>
      <c r="T12" s="220">
        <f t="shared" ref="T12:T52" si="21">J12</f>
        <v>1.0293281531418192E-2</v>
      </c>
      <c r="U12" s="220">
        <f t="shared" si="17"/>
        <v>1.0293281531418192E-2</v>
      </c>
      <c r="X12" s="209"/>
      <c r="Y12" s="209"/>
      <c r="AA12" s="4">
        <f t="shared" si="18"/>
        <v>28.821188287970937</v>
      </c>
      <c r="AB12" s="4">
        <f t="shared" si="19"/>
        <v>204.55059495112718</v>
      </c>
    </row>
    <row r="13" spans="1:78" x14ac:dyDescent="0.2">
      <c r="A13" s="223">
        <f t="shared" si="9"/>
        <v>4794.2238267148014</v>
      </c>
      <c r="B13" s="223">
        <f t="shared" si="10"/>
        <v>19176.895306859205</v>
      </c>
      <c r="C13" s="2">
        <f t="shared" si="20"/>
        <v>3</v>
      </c>
      <c r="D13" s="217">
        <f t="shared" si="12"/>
        <v>800</v>
      </c>
      <c r="E13" s="218">
        <v>3200</v>
      </c>
      <c r="F13" s="4">
        <f t="shared" si="0"/>
        <v>20.377041600000002</v>
      </c>
      <c r="G13" s="4">
        <f t="shared" si="11"/>
        <v>3179.6229583999998</v>
      </c>
      <c r="H13" s="4">
        <f t="shared" si="1"/>
        <v>11.519235358330052</v>
      </c>
      <c r="I13" s="4">
        <f t="shared" si="2"/>
        <v>31.896276958330056</v>
      </c>
      <c r="J13" s="20">
        <f t="shared" si="8"/>
        <v>9.9675865494781423E-3</v>
      </c>
      <c r="K13" s="4">
        <f t="shared" si="13"/>
        <v>3168.1037230416696</v>
      </c>
      <c r="L13" s="4">
        <f t="shared" si="3"/>
        <v>174.19439996742079</v>
      </c>
      <c r="M13" s="4">
        <f t="shared" si="14"/>
        <v>2993.9093230742487</v>
      </c>
      <c r="N13" s="4">
        <f t="shared" si="4"/>
        <v>3.1771997411119846</v>
      </c>
      <c r="O13" s="4">
        <f t="shared" si="5"/>
        <v>209.26787666686283</v>
      </c>
      <c r="P13" s="220">
        <f t="shared" si="6"/>
        <v>6.5396211458394637E-2</v>
      </c>
      <c r="Q13" s="220">
        <f t="shared" si="7"/>
        <v>6.5396211458394637E-2</v>
      </c>
      <c r="R13" s="141">
        <f t="shared" si="15"/>
        <v>6.4231220818291218E-2</v>
      </c>
      <c r="S13" s="141">
        <f t="shared" si="16"/>
        <v>7.2673374511131161E-3</v>
      </c>
      <c r="T13" s="220">
        <f t="shared" si="21"/>
        <v>9.9675865494781423E-3</v>
      </c>
      <c r="U13" s="220">
        <f t="shared" si="17"/>
        <v>9.9675865494781423E-3</v>
      </c>
      <c r="X13" s="209"/>
      <c r="Y13" s="209"/>
      <c r="AA13" s="4">
        <f t="shared" si="18"/>
        <v>31.896276958330056</v>
      </c>
      <c r="AB13" s="4">
        <f t="shared" si="19"/>
        <v>209.26787666686283</v>
      </c>
    </row>
    <row r="14" spans="1:78" x14ac:dyDescent="0.2">
      <c r="A14" s="223">
        <f t="shared" si="9"/>
        <v>5393.5018050541512</v>
      </c>
      <c r="B14" s="223">
        <f t="shared" si="10"/>
        <v>21574.007220216605</v>
      </c>
      <c r="C14" s="2">
        <f t="shared" si="20"/>
        <v>4</v>
      </c>
      <c r="D14" s="217">
        <f t="shared" si="12"/>
        <v>900</v>
      </c>
      <c r="E14" s="218">
        <v>3600</v>
      </c>
      <c r="F14" s="4">
        <f t="shared" si="0"/>
        <v>20.786646400000002</v>
      </c>
      <c r="G14" s="15">
        <f t="shared" si="11"/>
        <v>3579.2133536000001</v>
      </c>
      <c r="H14" s="4">
        <f t="shared" si="1"/>
        <v>14.596461214250299</v>
      </c>
      <c r="I14" s="15">
        <f t="shared" si="2"/>
        <v>35.383107614250299</v>
      </c>
      <c r="J14" s="17">
        <f t="shared" si="8"/>
        <v>9.828641003958416E-3</v>
      </c>
      <c r="K14" s="15">
        <f t="shared" si="13"/>
        <v>3564.6168923857499</v>
      </c>
      <c r="L14" s="4">
        <f t="shared" si="3"/>
        <v>175.16506836264199</v>
      </c>
      <c r="M14" s="15">
        <f t="shared" si="14"/>
        <v>3389.4518240231077</v>
      </c>
      <c r="N14" s="4">
        <f t="shared" si="4"/>
        <v>4.0721724747372363</v>
      </c>
      <c r="O14" s="15">
        <f t="shared" si="5"/>
        <v>214.62034845162952</v>
      </c>
      <c r="P14" s="221">
        <f t="shared" si="6"/>
        <v>5.9616763458785978E-2</v>
      </c>
      <c r="Q14" s="221">
        <f t="shared" si="7"/>
        <v>5.9616763458785978E-2</v>
      </c>
      <c r="R14" s="141">
        <f t="shared" si="15"/>
        <v>5.8411352587244288E-2</v>
      </c>
      <c r="S14" s="141">
        <f t="shared" si="16"/>
        <v>7.3570209085439221E-3</v>
      </c>
      <c r="T14" s="220">
        <f t="shared" si="21"/>
        <v>9.828641003958416E-3</v>
      </c>
      <c r="U14" s="220">
        <f t="shared" si="17"/>
        <v>9.828641003958416E-3</v>
      </c>
      <c r="V14" s="2"/>
      <c r="W14" s="2"/>
      <c r="X14" s="209"/>
      <c r="Y14" s="209"/>
      <c r="AA14" s="4">
        <f t="shared" si="18"/>
        <v>35.383107614250299</v>
      </c>
      <c r="AB14" s="4">
        <f t="shared" si="19"/>
        <v>214.62034845162952</v>
      </c>
    </row>
    <row r="15" spans="1:78" x14ac:dyDescent="0.2">
      <c r="A15" s="223">
        <f t="shared" si="9"/>
        <v>5992.7797833935019</v>
      </c>
      <c r="B15" s="223">
        <f t="shared" si="10"/>
        <v>23971.119133574008</v>
      </c>
      <c r="C15" s="2">
        <f t="shared" si="20"/>
        <v>5</v>
      </c>
      <c r="D15" s="217">
        <f t="shared" si="12"/>
        <v>1000</v>
      </c>
      <c r="E15" s="218">
        <v>4000</v>
      </c>
      <c r="F15" s="4">
        <f t="shared" si="0"/>
        <v>21.244440000000001</v>
      </c>
      <c r="G15" s="15">
        <f t="shared" si="11"/>
        <v>3978.7555600000001</v>
      </c>
      <c r="H15" s="4">
        <f t="shared" si="1"/>
        <v>18.037108616661438</v>
      </c>
      <c r="I15" s="15">
        <f t="shared" si="2"/>
        <v>39.281548616661439</v>
      </c>
      <c r="J15" s="17">
        <f t="shared" si="8"/>
        <v>9.8203871541653592E-3</v>
      </c>
      <c r="K15" s="15">
        <f t="shared" si="13"/>
        <v>3960.7184513833386</v>
      </c>
      <c r="L15" s="4">
        <f t="shared" si="3"/>
        <v>176.24888319345965</v>
      </c>
      <c r="M15" s="15">
        <f t="shared" si="14"/>
        <v>3784.4695681898788</v>
      </c>
      <c r="N15" s="4">
        <f t="shared" si="4"/>
        <v>5.0766505256043475</v>
      </c>
      <c r="O15" s="15">
        <f t="shared" si="5"/>
        <v>220.60708233572544</v>
      </c>
      <c r="P15" s="221">
        <f t="shared" si="6"/>
        <v>5.5151770583931357E-2</v>
      </c>
      <c r="Q15" s="221">
        <f t="shared" si="7"/>
        <v>5.5151770583931357E-2</v>
      </c>
      <c r="R15" s="141">
        <f t="shared" si="15"/>
        <v>5.3967251022864017E-2</v>
      </c>
      <c r="S15" s="141">
        <f t="shared" si="16"/>
        <v>7.583761657641395E-3</v>
      </c>
      <c r="T15" s="220">
        <f t="shared" si="21"/>
        <v>9.8203871541653592E-3</v>
      </c>
      <c r="U15" s="220">
        <f t="shared" si="17"/>
        <v>9.8203871541653592E-3</v>
      </c>
      <c r="V15" s="2"/>
      <c r="W15" s="2"/>
      <c r="X15" s="209"/>
      <c r="Y15" s="209"/>
      <c r="AA15" s="4">
        <f t="shared" si="18"/>
        <v>39.281548616661439</v>
      </c>
      <c r="AB15" s="4">
        <f t="shared" si="19"/>
        <v>220.60708233572544</v>
      </c>
    </row>
    <row r="16" spans="1:78" x14ac:dyDescent="0.2">
      <c r="A16" s="223">
        <f t="shared" si="9"/>
        <v>6592.0577617328518</v>
      </c>
      <c r="B16" s="223">
        <f t="shared" si="10"/>
        <v>26368.231046931407</v>
      </c>
      <c r="C16" s="2">
        <f t="shared" si="20"/>
        <v>6</v>
      </c>
      <c r="D16" s="217">
        <f t="shared" si="12"/>
        <v>1100</v>
      </c>
      <c r="E16" s="218">
        <v>4400</v>
      </c>
      <c r="F16" s="4">
        <f t="shared" si="0"/>
        <v>21.750422400000001</v>
      </c>
      <c r="G16" s="15">
        <f t="shared" si="11"/>
        <v>4378.2495775999996</v>
      </c>
      <c r="H16" s="4">
        <f t="shared" si="1"/>
        <v>21.841045942368325</v>
      </c>
      <c r="I16" s="15">
        <f t="shared" si="2"/>
        <v>43.59146834236833</v>
      </c>
      <c r="J16" s="17">
        <f t="shared" si="8"/>
        <v>9.907151895992802E-3</v>
      </c>
      <c r="K16" s="15">
        <f t="shared" si="13"/>
        <v>4356.4085316576311</v>
      </c>
      <c r="L16" s="4">
        <f t="shared" si="3"/>
        <v>177.44548919085739</v>
      </c>
      <c r="M16" s="15">
        <f t="shared" si="14"/>
        <v>4178.9630424667739</v>
      </c>
      <c r="N16" s="4">
        <f t="shared" si="4"/>
        <v>6.1901944838180567</v>
      </c>
      <c r="O16" s="15">
        <f t="shared" si="5"/>
        <v>227.22715201704378</v>
      </c>
      <c r="P16" s="221">
        <f t="shared" si="6"/>
        <v>5.1642534549328128E-2</v>
      </c>
      <c r="Q16" s="221">
        <f t="shared" si="7"/>
        <v>5.1642534549328128E-2</v>
      </c>
      <c r="R16" s="141">
        <f t="shared" si="15"/>
        <v>5.0523707034241333E-2</v>
      </c>
      <c r="S16" s="141">
        <f t="shared" si="16"/>
        <v>7.9101804370418968E-3</v>
      </c>
      <c r="T16" s="220">
        <f t="shared" si="21"/>
        <v>9.907151895992802E-3</v>
      </c>
      <c r="U16" s="220">
        <f t="shared" si="17"/>
        <v>9.907151895992802E-3</v>
      </c>
      <c r="V16" s="2"/>
      <c r="W16" s="2"/>
      <c r="X16" s="209"/>
      <c r="Y16" s="209"/>
      <c r="AA16" s="4">
        <f t="shared" si="18"/>
        <v>43.59146834236833</v>
      </c>
      <c r="AB16" s="4">
        <f t="shared" si="19"/>
        <v>227.22715201704378</v>
      </c>
    </row>
    <row r="17" spans="1:28" x14ac:dyDescent="0.2">
      <c r="A17" s="223">
        <f t="shared" si="9"/>
        <v>7191.3357400722025</v>
      </c>
      <c r="B17" s="223">
        <f t="shared" si="10"/>
        <v>28765.34296028881</v>
      </c>
      <c r="C17" s="2">
        <f t="shared" si="20"/>
        <v>7</v>
      </c>
      <c r="D17" s="217">
        <f t="shared" si="12"/>
        <v>1200</v>
      </c>
      <c r="E17" s="218">
        <v>4800</v>
      </c>
      <c r="F17" s="4">
        <f t="shared" si="0"/>
        <v>22.3045936</v>
      </c>
      <c r="G17" s="15">
        <f t="shared" si="11"/>
        <v>4777.6954064000001</v>
      </c>
      <c r="H17" s="4">
        <f t="shared" si="1"/>
        <v>26.008141584050893</v>
      </c>
      <c r="I17" s="15">
        <f t="shared" si="2"/>
        <v>48.312735184050894</v>
      </c>
      <c r="J17" s="17">
        <f t="shared" si="8"/>
        <v>1.0065153163343936E-2</v>
      </c>
      <c r="K17" s="15">
        <f t="shared" si="13"/>
        <v>4751.6872648159497</v>
      </c>
      <c r="L17" s="4">
        <f t="shared" si="3"/>
        <v>178.75453160671461</v>
      </c>
      <c r="M17" s="15">
        <f t="shared" si="14"/>
        <v>4572.9327332092353</v>
      </c>
      <c r="N17" s="4">
        <f t="shared" si="4"/>
        <v>7.4123660673295264</v>
      </c>
      <c r="O17" s="15">
        <f t="shared" si="5"/>
        <v>234.47963285809502</v>
      </c>
      <c r="P17" s="221">
        <f t="shared" si="6"/>
        <v>4.8849923512103127E-2</v>
      </c>
      <c r="Q17" s="221">
        <f t="shared" si="7"/>
        <v>4.8849923512103127E-2</v>
      </c>
      <c r="R17" s="141">
        <f t="shared" si="15"/>
        <v>4.7830581227436823E-2</v>
      </c>
      <c r="S17" s="141">
        <f t="shared" si="16"/>
        <v>8.3113577391696752E-3</v>
      </c>
      <c r="T17" s="220">
        <f t="shared" si="21"/>
        <v>1.0065153163343936E-2</v>
      </c>
      <c r="U17" s="220">
        <f t="shared" si="17"/>
        <v>1.0065153163343936E-2</v>
      </c>
      <c r="V17" s="2"/>
      <c r="W17" s="2"/>
      <c r="X17" s="209"/>
      <c r="Y17" s="209"/>
      <c r="AA17" s="4">
        <f t="shared" si="18"/>
        <v>48.312735184050894</v>
      </c>
      <c r="AB17" s="4">
        <f t="shared" si="19"/>
        <v>234.47963285809502</v>
      </c>
    </row>
    <row r="18" spans="1:28" x14ac:dyDescent="0.2">
      <c r="A18" s="223">
        <f t="shared" si="9"/>
        <v>7790.6137184115523</v>
      </c>
      <c r="B18" s="223">
        <f t="shared" si="10"/>
        <v>31162.454873646209</v>
      </c>
      <c r="C18" s="2">
        <f t="shared" si="20"/>
        <v>8</v>
      </c>
      <c r="D18" s="217">
        <f t="shared" si="12"/>
        <v>1300</v>
      </c>
      <c r="E18" s="218">
        <v>5200</v>
      </c>
      <c r="F18" s="4">
        <f t="shared" si="0"/>
        <v>22.906953600000001</v>
      </c>
      <c r="G18" s="15">
        <f t="shared" si="11"/>
        <v>5177.0930464000003</v>
      </c>
      <c r="H18" s="4">
        <f t="shared" si="1"/>
        <v>30.538263950264124</v>
      </c>
      <c r="I18" s="15">
        <f t="shared" si="2"/>
        <v>53.445217550264125</v>
      </c>
      <c r="J18" s="17">
        <f t="shared" si="8"/>
        <v>1.027792645197387E-2</v>
      </c>
      <c r="K18" s="15">
        <f t="shared" si="13"/>
        <v>5146.5547824497362</v>
      </c>
      <c r="L18" s="4">
        <f t="shared" si="3"/>
        <v>180.17565621338963</v>
      </c>
      <c r="M18" s="15">
        <f t="shared" si="14"/>
        <v>4966.3791262363466</v>
      </c>
      <c r="N18" s="4">
        <f t="shared" si="4"/>
        <v>8.7427281193804358</v>
      </c>
      <c r="O18" s="15">
        <f t="shared" si="5"/>
        <v>242.36360188303419</v>
      </c>
      <c r="P18" s="221">
        <f t="shared" si="6"/>
        <v>4.6608384977506578E-2</v>
      </c>
      <c r="Q18" s="221">
        <f t="shared" si="7"/>
        <v>4.6608384977506578E-2</v>
      </c>
      <c r="R18" s="141">
        <f t="shared" si="15"/>
        <v>4.5714700175877067E-2</v>
      </c>
      <c r="S18" s="141">
        <f t="shared" si="16"/>
        <v>8.7700415972415055E-3</v>
      </c>
      <c r="T18" s="221">
        <f t="shared" si="21"/>
        <v>1.027792645197387E-2</v>
      </c>
      <c r="U18" s="221">
        <f t="shared" si="17"/>
        <v>1.027792645197387E-2</v>
      </c>
      <c r="V18" s="2"/>
      <c r="W18" s="2"/>
      <c r="X18" s="209"/>
      <c r="Y18" s="209"/>
      <c r="AA18" s="4">
        <f t="shared" si="18"/>
        <v>53.445217550264125</v>
      </c>
      <c r="AB18" s="4">
        <f t="shared" si="19"/>
        <v>242.36360188303419</v>
      </c>
    </row>
    <row r="19" spans="1:28" x14ac:dyDescent="0.2">
      <c r="A19" s="223">
        <f t="shared" si="9"/>
        <v>8389.8916967509031</v>
      </c>
      <c r="B19" s="223">
        <f t="shared" si="10"/>
        <v>33559.566787003612</v>
      </c>
      <c r="C19" s="2">
        <f t="shared" si="20"/>
        <v>9</v>
      </c>
      <c r="D19" s="217">
        <f t="shared" si="12"/>
        <v>1400</v>
      </c>
      <c r="E19" s="218">
        <v>5600</v>
      </c>
      <c r="F19" s="4">
        <f t="shared" si="0"/>
        <v>23.557502400000001</v>
      </c>
      <c r="G19" s="15">
        <f t="shared" si="11"/>
        <v>5576.4424976</v>
      </c>
      <c r="H19" s="4">
        <f t="shared" si="1"/>
        <v>35.431281465438119</v>
      </c>
      <c r="I19" s="15">
        <f t="shared" si="2"/>
        <v>58.988783865438123</v>
      </c>
      <c r="J19" s="17">
        <f t="shared" si="8"/>
        <v>1.0533711404542522E-2</v>
      </c>
      <c r="K19" s="15">
        <f t="shared" si="13"/>
        <v>5541.0112161345623</v>
      </c>
      <c r="L19" s="4">
        <f t="shared" si="3"/>
        <v>181.70850930330352</v>
      </c>
      <c r="M19" s="15">
        <f t="shared" si="14"/>
        <v>5359.3027068312585</v>
      </c>
      <c r="N19" s="4">
        <f t="shared" si="4"/>
        <v>10.180844605952482</v>
      </c>
      <c r="O19" s="15">
        <f t="shared" si="5"/>
        <v>250.8781377746941</v>
      </c>
      <c r="P19" s="221">
        <f t="shared" si="6"/>
        <v>4.4799667459766802E-2</v>
      </c>
      <c r="Q19" s="221">
        <f t="shared" si="7"/>
        <v>4.4799667459766802E-2</v>
      </c>
      <c r="R19" s="141">
        <f t="shared" si="15"/>
        <v>4.4052368574866767E-2</v>
      </c>
      <c r="S19" s="141">
        <f t="shared" si="16"/>
        <v>9.2739091778408118E-3</v>
      </c>
      <c r="T19" s="221">
        <f t="shared" si="21"/>
        <v>1.0533711404542522E-2</v>
      </c>
      <c r="U19" s="221">
        <f t="shared" si="17"/>
        <v>1.0533711404542522E-2</v>
      </c>
      <c r="V19" s="2"/>
      <c r="X19" s="209"/>
      <c r="Y19" s="209"/>
      <c r="AA19" s="4">
        <f t="shared" si="18"/>
        <v>58.988783865438123</v>
      </c>
      <c r="AB19" s="4">
        <f t="shared" si="19"/>
        <v>250.8781377746941</v>
      </c>
    </row>
    <row r="20" spans="1:28" x14ac:dyDescent="0.2">
      <c r="A20" s="223">
        <f t="shared" si="9"/>
        <v>8989.169675090252</v>
      </c>
      <c r="B20" s="223">
        <f t="shared" si="10"/>
        <v>35956.678700361008</v>
      </c>
      <c r="C20" s="2">
        <f t="shared" si="20"/>
        <v>10</v>
      </c>
      <c r="D20" s="217">
        <f t="shared" si="12"/>
        <v>1500</v>
      </c>
      <c r="E20" s="218">
        <v>6000</v>
      </c>
      <c r="F20" s="4">
        <f t="shared" si="0"/>
        <v>24.256240000000002</v>
      </c>
      <c r="G20" s="15">
        <f t="shared" si="11"/>
        <v>5975.7437600000003</v>
      </c>
      <c r="H20" s="4">
        <f t="shared" si="1"/>
        <v>40.68706256987803</v>
      </c>
      <c r="I20" s="15">
        <f t="shared" si="2"/>
        <v>64.943302569878028</v>
      </c>
      <c r="J20" s="17">
        <f t="shared" si="8"/>
        <v>1.0823883761646337E-2</v>
      </c>
      <c r="K20" s="15">
        <f t="shared" si="13"/>
        <v>5935.0566974301219</v>
      </c>
      <c r="L20" s="4">
        <f t="shared" si="3"/>
        <v>183.3527376885238</v>
      </c>
      <c r="M20" s="15">
        <f t="shared" si="14"/>
        <v>5751.7039597415978</v>
      </c>
      <c r="N20" s="4">
        <f t="shared" si="4"/>
        <v>11.726280613222173</v>
      </c>
      <c r="O20" s="15">
        <f t="shared" si="5"/>
        <v>260.022320871624</v>
      </c>
      <c r="P20" s="221">
        <f t="shared" si="6"/>
        <v>4.3337053478604004E-2</v>
      </c>
      <c r="Q20" s="221">
        <f t="shared" si="7"/>
        <v>4.3337053478604004E-2</v>
      </c>
      <c r="R20" s="141">
        <f t="shared" si="15"/>
        <v>4.2752876534296033E-2</v>
      </c>
      <c r="S20" s="141">
        <f t="shared" si="16"/>
        <v>9.8139237364620931E-3</v>
      </c>
      <c r="T20" s="221">
        <f t="shared" si="21"/>
        <v>1.0823883761646337E-2</v>
      </c>
      <c r="U20" s="221">
        <f t="shared" si="17"/>
        <v>1.0823883761646337E-2</v>
      </c>
      <c r="V20" s="2"/>
      <c r="X20" s="209"/>
      <c r="Y20" s="209"/>
      <c r="AA20" s="4">
        <f>U20*E20</f>
        <v>64.943302569878028</v>
      </c>
      <c r="AB20" s="4">
        <f t="shared" si="19"/>
        <v>260.022320871624</v>
      </c>
    </row>
    <row r="21" spans="1:28" x14ac:dyDescent="0.2">
      <c r="A21" s="223">
        <f t="shared" si="9"/>
        <v>9588.4476534296027</v>
      </c>
      <c r="B21" s="223">
        <f t="shared" si="10"/>
        <v>38353.790613718411</v>
      </c>
      <c r="C21" s="2">
        <f t="shared" si="20"/>
        <v>11</v>
      </c>
      <c r="D21" s="217">
        <f t="shared" si="12"/>
        <v>1600</v>
      </c>
      <c r="E21" s="218">
        <v>6400</v>
      </c>
      <c r="F21" s="4">
        <f t="shared" si="0"/>
        <v>25.003166400000001</v>
      </c>
      <c r="G21" s="15">
        <f t="shared" si="11"/>
        <v>6374.9968336000002</v>
      </c>
      <c r="H21" s="4">
        <f t="shared" si="1"/>
        <v>46.305475719764104</v>
      </c>
      <c r="I21" s="15">
        <f t="shared" si="2"/>
        <v>71.308642119764102</v>
      </c>
      <c r="J21" s="17">
        <f t="shared" si="8"/>
        <v>1.114197533121314E-2</v>
      </c>
      <c r="K21" s="15">
        <f t="shared" si="13"/>
        <v>6328.691357880236</v>
      </c>
      <c r="L21" s="4">
        <f t="shared" si="3"/>
        <v>185.10798870034847</v>
      </c>
      <c r="M21" s="15">
        <f t="shared" si="14"/>
        <v>6143.5833691798871</v>
      </c>
      <c r="N21" s="4">
        <f t="shared" si="4"/>
        <v>13.378602345021017</v>
      </c>
      <c r="O21" s="15">
        <f t="shared" si="5"/>
        <v>269.7952331651336</v>
      </c>
      <c r="P21" s="221">
        <f t="shared" si="6"/>
        <v>4.2155505182052126E-2</v>
      </c>
      <c r="Q21" s="221">
        <f t="shared" si="7"/>
        <v>4.2155505182052126E-2</v>
      </c>
      <c r="R21" s="141">
        <f t="shared" si="15"/>
        <v>4.174819163658243E-2</v>
      </c>
      <c r="S21" s="141">
        <f t="shared" si="16"/>
        <v>1.0383307714726233E-2</v>
      </c>
      <c r="T21" s="221">
        <f t="shared" si="21"/>
        <v>1.114197533121314E-2</v>
      </c>
      <c r="U21" s="221">
        <f t="shared" si="17"/>
        <v>1.114197533121314E-2</v>
      </c>
      <c r="V21" s="2"/>
      <c r="X21" s="209"/>
      <c r="Y21" s="209"/>
      <c r="AA21" s="4">
        <f>U21*E21</f>
        <v>71.308642119764102</v>
      </c>
      <c r="AB21" s="4">
        <f t="shared" si="19"/>
        <v>269.7952331651336</v>
      </c>
    </row>
    <row r="22" spans="1:28" s="154" customFormat="1" x14ac:dyDescent="0.2">
      <c r="A22" s="224">
        <f t="shared" si="9"/>
        <v>10187.725631768953</v>
      </c>
      <c r="B22" s="224">
        <f t="shared" si="10"/>
        <v>40750.902527075814</v>
      </c>
      <c r="C22" s="139">
        <f>1+C21</f>
        <v>12</v>
      </c>
      <c r="D22" s="219">
        <f t="shared" si="12"/>
        <v>1700</v>
      </c>
      <c r="E22" s="219">
        <v>6800</v>
      </c>
      <c r="F22" s="4">
        <f t="shared" si="0"/>
        <v>25.798281599999999</v>
      </c>
      <c r="G22" s="151">
        <f t="shared" si="11"/>
        <v>6774.2017183999997</v>
      </c>
      <c r="H22" s="4">
        <f t="shared" si="1"/>
        <v>52.286389387151637</v>
      </c>
      <c r="I22" s="151">
        <f t="shared" si="2"/>
        <v>78.08467098715164</v>
      </c>
      <c r="J22" s="152">
        <f t="shared" si="8"/>
        <v>1.1483039851051712E-2</v>
      </c>
      <c r="K22" s="151">
        <f t="shared" si="13"/>
        <v>6721.9153290128479</v>
      </c>
      <c r="L22" s="4">
        <f t="shared" si="3"/>
        <v>186.97391018889024</v>
      </c>
      <c r="M22" s="151">
        <f t="shared" si="14"/>
        <v>6534.941418823958</v>
      </c>
      <c r="N22" s="4">
        <f t="shared" si="4"/>
        <v>15.137377120300984</v>
      </c>
      <c r="O22" s="151">
        <f t="shared" si="5"/>
        <v>280.19595829634289</v>
      </c>
      <c r="P22" s="222">
        <f t="shared" si="6"/>
        <v>4.1205287984756311E-2</v>
      </c>
      <c r="Q22" s="222">
        <f t="shared" si="7"/>
        <v>4.1205287984756311E-2</v>
      </c>
      <c r="R22" s="153">
        <f t="shared" si="15"/>
        <v>4.0986289091810013E-2</v>
      </c>
      <c r="S22" s="153">
        <f t="shared" si="16"/>
        <v>1.0976878273872727E-2</v>
      </c>
      <c r="T22" s="222">
        <f t="shared" si="21"/>
        <v>1.1483039851051712E-2</v>
      </c>
      <c r="U22" s="222">
        <f t="shared" si="17"/>
        <v>1.1483039851051712E-2</v>
      </c>
      <c r="W22" s="155"/>
      <c r="X22" s="209"/>
      <c r="Y22" s="209"/>
      <c r="AA22" s="156">
        <f>U22*E22</f>
        <v>78.08467098715164</v>
      </c>
      <c r="AB22" s="156">
        <f t="shared" si="19"/>
        <v>280.19595829634289</v>
      </c>
    </row>
    <row r="23" spans="1:28" s="155" customFormat="1" x14ac:dyDescent="0.2">
      <c r="A23" s="224">
        <f t="shared" si="9"/>
        <v>10787.003610108302</v>
      </c>
      <c r="B23" s="224">
        <f>E23*$B$56/$E$56</f>
        <v>43148.01444043321</v>
      </c>
      <c r="C23" s="139">
        <f t="shared" si="20"/>
        <v>13</v>
      </c>
      <c r="D23" s="219">
        <f t="shared" si="12"/>
        <v>1800</v>
      </c>
      <c r="E23" s="219">
        <v>7200</v>
      </c>
      <c r="F23" s="4">
        <f t="shared" si="0"/>
        <v>26.641585599999999</v>
      </c>
      <c r="G23" s="151">
        <f t="shared" si="11"/>
        <v>7173.3584143999997</v>
      </c>
      <c r="H23" s="4">
        <f t="shared" si="1"/>
        <v>58.629672059971057</v>
      </c>
      <c r="I23" s="151">
        <f t="shared" si="2"/>
        <v>85.271257659971056</v>
      </c>
      <c r="J23" s="152">
        <f t="shared" si="8"/>
        <v>1.1843230230551536E-2</v>
      </c>
      <c r="K23" s="151">
        <f t="shared" si="13"/>
        <v>7114.7287423400285</v>
      </c>
      <c r="L23" s="4">
        <f t="shared" si="3"/>
        <v>188.95015052266095</v>
      </c>
      <c r="M23" s="151">
        <f t="shared" si="14"/>
        <v>6925.7785918173677</v>
      </c>
      <c r="N23" s="4">
        <f t="shared" si="4"/>
        <v>17.002173370605341</v>
      </c>
      <c r="O23" s="151">
        <f t="shared" si="5"/>
        <v>291.22358155323735</v>
      </c>
      <c r="P23" s="222">
        <f t="shared" si="6"/>
        <v>4.0447719660171855E-2</v>
      </c>
      <c r="Q23" s="222">
        <f t="shared" si="7"/>
        <v>4.0447719660171855E-2</v>
      </c>
      <c r="R23" s="153">
        <f t="shared" si="15"/>
        <v>4.042670517448857E-2</v>
      </c>
      <c r="S23" s="153">
        <f t="shared" si="16"/>
        <v>1.1590604317087845E-2</v>
      </c>
      <c r="T23" s="222">
        <f t="shared" si="21"/>
        <v>1.1843230230551536E-2</v>
      </c>
      <c r="U23" s="222">
        <f t="shared" si="17"/>
        <v>1.1843230230551536E-2</v>
      </c>
      <c r="X23" s="209"/>
      <c r="Y23" s="209"/>
      <c r="AA23" s="151">
        <f>U23*E23</f>
        <v>85.271257659971056</v>
      </c>
      <c r="AB23" s="151">
        <f>Q23*E23</f>
        <v>291.22358155323735</v>
      </c>
    </row>
    <row r="24" spans="1:28" x14ac:dyDescent="0.2">
      <c r="A24" s="223">
        <f t="shared" si="9"/>
        <v>11386.281588447653</v>
      </c>
      <c r="B24" s="223">
        <f t="shared" si="10"/>
        <v>45545.126353790612</v>
      </c>
      <c r="C24" s="2">
        <f t="shared" si="20"/>
        <v>14</v>
      </c>
      <c r="D24" s="217">
        <f t="shared" si="12"/>
        <v>1900</v>
      </c>
      <c r="E24" s="218">
        <v>7600</v>
      </c>
      <c r="F24" s="4">
        <f t="shared" si="0"/>
        <v>27.533078400000001</v>
      </c>
      <c r="G24" s="15">
        <f t="shared" si="11"/>
        <v>7572.4669216000002</v>
      </c>
      <c r="H24" s="4">
        <f t="shared" si="1"/>
        <v>65.33519224202783</v>
      </c>
      <c r="I24" s="15">
        <f t="shared" si="2"/>
        <v>92.868270642027824</v>
      </c>
      <c r="J24" s="17">
        <f t="shared" si="8"/>
        <v>1.221950929500366E-2</v>
      </c>
      <c r="K24" s="15">
        <f t="shared" si="13"/>
        <v>7507.1317293579723</v>
      </c>
      <c r="L24" s="4">
        <f t="shared" si="3"/>
        <v>191.03635858815611</v>
      </c>
      <c r="M24" s="15">
        <f t="shared" si="14"/>
        <v>7316.0953707698163</v>
      </c>
      <c r="N24" s="4">
        <f t="shared" si="4"/>
        <v>18.972560637544767</v>
      </c>
      <c r="O24" s="15">
        <f t="shared" si="5"/>
        <v>302.87718986772865</v>
      </c>
      <c r="P24" s="221">
        <f t="shared" si="6"/>
        <v>3.9852261824701141E-2</v>
      </c>
      <c r="Q24" s="221">
        <f t="shared" si="7"/>
        <v>3.9852261824701141E-2</v>
      </c>
      <c r="R24" s="141">
        <f t="shared" si="15"/>
        <v>4.0037494838178478E-2</v>
      </c>
      <c r="S24" s="141">
        <f t="shared" si="16"/>
        <v>1.2221303399518652E-2</v>
      </c>
      <c r="T24" s="221">
        <f t="shared" si="21"/>
        <v>1.221950929500366E-2</v>
      </c>
      <c r="U24" s="221">
        <f t="shared" si="17"/>
        <v>1.221950929500366E-2</v>
      </c>
      <c r="V24" s="118">
        <v>0</v>
      </c>
      <c r="W24" s="118">
        <v>0</v>
      </c>
      <c r="X24" s="209"/>
      <c r="Y24" s="209"/>
      <c r="AA24" s="4">
        <f>U24*E24</f>
        <v>92.868270642027824</v>
      </c>
      <c r="AB24" s="4">
        <f t="shared" ref="AB24:AB44" si="22">Q24*E24</f>
        <v>302.87718986772865</v>
      </c>
    </row>
    <row r="25" spans="1:28" x14ac:dyDescent="0.2">
      <c r="A25" s="223">
        <f t="shared" si="9"/>
        <v>11985.559566787004</v>
      </c>
      <c r="B25" s="223">
        <f t="shared" si="10"/>
        <v>47942.238267148015</v>
      </c>
      <c r="C25" s="2">
        <f>1+C24</f>
        <v>15</v>
      </c>
      <c r="D25" s="217">
        <f t="shared" si="12"/>
        <v>2000</v>
      </c>
      <c r="E25" s="218">
        <v>8000</v>
      </c>
      <c r="F25" s="4">
        <f t="shared" si="0"/>
        <v>28.472760000000001</v>
      </c>
      <c r="G25" s="15">
        <f t="shared" si="11"/>
        <v>7971.5272400000003</v>
      </c>
      <c r="H25" s="4">
        <f t="shared" si="1"/>
        <v>72.402818453002496</v>
      </c>
      <c r="I25" s="15">
        <f t="shared" si="2"/>
        <v>100.8755784530025</v>
      </c>
      <c r="J25" s="17">
        <f t="shared" si="8"/>
        <v>1.2609447306625313E-2</v>
      </c>
      <c r="K25" s="283">
        <f t="shared" si="13"/>
        <v>7899.1244215469978</v>
      </c>
      <c r="L25" s="4">
        <f t="shared" si="3"/>
        <v>193.23218378943972</v>
      </c>
      <c r="M25" s="283">
        <f t="shared" si="14"/>
        <v>7705.8922377575582</v>
      </c>
      <c r="N25" s="4">
        <f t="shared" si="4"/>
        <v>21.048109570278765</v>
      </c>
      <c r="O25" s="15">
        <f t="shared" si="5"/>
        <v>315.15587181272099</v>
      </c>
      <c r="P25" s="221">
        <f t="shared" si="6"/>
        <v>3.9394483976590122E-2</v>
      </c>
      <c r="Q25" s="221">
        <f t="shared" ref="Q25:Q43" si="23">P25+(V25/$V$47)*$P$69</f>
        <v>3.9642310063546647E-2</v>
      </c>
      <c r="R25" s="141">
        <f t="shared" si="15"/>
        <v>3.9793102045728036E-2</v>
      </c>
      <c r="S25" s="141">
        <f t="shared" si="16"/>
        <v>1.2866429565282791E-2</v>
      </c>
      <c r="T25" s="221">
        <f t="shared" si="21"/>
        <v>1.2609447306625313E-2</v>
      </c>
      <c r="U25" s="221">
        <f t="shared" ref="U25:U36" si="24">T25+(W25/$W$47)*$Q$69</f>
        <v>1.2868142958799227E-2</v>
      </c>
      <c r="V25" s="73">
        <v>1</v>
      </c>
      <c r="W25" s="73">
        <v>1</v>
      </c>
      <c r="X25" s="209"/>
      <c r="Y25" s="209"/>
      <c r="AA25" s="4">
        <f t="shared" ref="AA25:AA44" si="25">U25*E25</f>
        <v>102.94514367039382</v>
      </c>
      <c r="AB25" s="4">
        <f t="shared" si="22"/>
        <v>317.13848050837316</v>
      </c>
    </row>
    <row r="26" spans="1:28" x14ac:dyDescent="0.2">
      <c r="A26" s="223">
        <f t="shared" si="9"/>
        <v>12584.837545126355</v>
      </c>
      <c r="B26" s="223">
        <f t="shared" si="10"/>
        <v>50339.350180505418</v>
      </c>
      <c r="C26" s="2">
        <f t="shared" si="20"/>
        <v>16</v>
      </c>
      <c r="D26" s="217">
        <f t="shared" si="12"/>
        <v>2100</v>
      </c>
      <c r="E26" s="218">
        <v>8400</v>
      </c>
      <c r="F26" s="4">
        <f t="shared" si="0"/>
        <v>29.460630399999999</v>
      </c>
      <c r="G26" s="15">
        <f t="shared" si="11"/>
        <v>8370.5393695999992</v>
      </c>
      <c r="H26" s="4">
        <f t="shared" si="1"/>
        <v>79.832419228450647</v>
      </c>
      <c r="I26" s="15">
        <f t="shared" si="2"/>
        <v>109.29304962845065</v>
      </c>
      <c r="J26" s="17">
        <f t="shared" si="8"/>
        <v>1.3011077336720314E-2</v>
      </c>
      <c r="K26" s="15">
        <f t="shared" si="13"/>
        <v>8290.7069503715484</v>
      </c>
      <c r="L26" s="4">
        <f t="shared" si="3"/>
        <v>195.53727604772931</v>
      </c>
      <c r="M26" s="15">
        <f t="shared" si="14"/>
        <v>8095.169674323819</v>
      </c>
      <c r="N26" s="4">
        <f t="shared" si="4"/>
        <v>23.228391923002373</v>
      </c>
      <c r="O26" s="15">
        <f t="shared" si="5"/>
        <v>328.05871759918233</v>
      </c>
      <c r="P26" s="221">
        <f t="shared" si="6"/>
        <v>3.9054609237997896E-2</v>
      </c>
      <c r="Q26" s="221">
        <f t="shared" si="23"/>
        <v>3.9550261411910939E-2</v>
      </c>
      <c r="R26" s="141">
        <f t="shared" si="15"/>
        <v>3.9672838576585864E-2</v>
      </c>
      <c r="S26" s="141">
        <f t="shared" si="16"/>
        <v>1.3523921802475504E-2</v>
      </c>
      <c r="T26" s="221">
        <f t="shared" si="21"/>
        <v>1.3011077336720314E-2</v>
      </c>
      <c r="U26" s="221">
        <f t="shared" si="24"/>
        <v>1.352846864106814E-2</v>
      </c>
      <c r="V26" s="73">
        <v>2</v>
      </c>
      <c r="W26" s="73">
        <v>2</v>
      </c>
      <c r="X26" s="209"/>
      <c r="Y26" s="209"/>
      <c r="AA26" s="4">
        <f t="shared" si="25"/>
        <v>113.63913658497238</v>
      </c>
      <c r="AB26" s="4">
        <f t="shared" si="22"/>
        <v>332.2221958600519</v>
      </c>
    </row>
    <row r="27" spans="1:28" x14ac:dyDescent="0.2">
      <c r="A27" s="223">
        <f t="shared" si="9"/>
        <v>13184.115523465704</v>
      </c>
      <c r="B27" s="223">
        <f t="shared" si="10"/>
        <v>52736.462093862814</v>
      </c>
      <c r="C27" s="2">
        <f t="shared" si="20"/>
        <v>17</v>
      </c>
      <c r="D27" s="217">
        <f t="shared" si="12"/>
        <v>2200</v>
      </c>
      <c r="E27" s="218">
        <v>8800</v>
      </c>
      <c r="F27" s="4">
        <f t="shared" si="0"/>
        <v>30.496689600000003</v>
      </c>
      <c r="G27" s="15">
        <f t="shared" si="11"/>
        <v>8769.5033103999995</v>
      </c>
      <c r="H27" s="4">
        <f t="shared" si="1"/>
        <v>87.623863119803076</v>
      </c>
      <c r="I27" s="15">
        <f t="shared" si="2"/>
        <v>118.12055271980307</v>
      </c>
      <c r="J27" s="17">
        <f t="shared" si="8"/>
        <v>1.3422790081795803E-2</v>
      </c>
      <c r="K27" s="15">
        <f t="shared" si="13"/>
        <v>8681.8794472801965</v>
      </c>
      <c r="L27" s="4">
        <f t="shared" si="3"/>
        <v>197.95128580098111</v>
      </c>
      <c r="M27" s="15">
        <f t="shared" si="14"/>
        <v>8483.9281614792162</v>
      </c>
      <c r="N27" s="4">
        <f t="shared" si="4"/>
        <v>25.512980552438204</v>
      </c>
      <c r="O27" s="15">
        <f t="shared" si="5"/>
        <v>341.58481907322238</v>
      </c>
      <c r="P27" s="221">
        <f t="shared" si="6"/>
        <v>3.8816456712866182E-2</v>
      </c>
      <c r="Q27" s="221">
        <f t="shared" si="23"/>
        <v>3.955993497373575E-2</v>
      </c>
      <c r="R27" s="141">
        <f t="shared" si="15"/>
        <v>3.96597777048463E-2</v>
      </c>
      <c r="S27" s="141">
        <f t="shared" si="16"/>
        <v>1.4192093828629248E-2</v>
      </c>
      <c r="T27" s="221">
        <f t="shared" si="21"/>
        <v>1.3422790081795803E-2</v>
      </c>
      <c r="U27" s="221">
        <f t="shared" si="24"/>
        <v>1.4198877038317542E-2</v>
      </c>
      <c r="V27" s="73">
        <v>3</v>
      </c>
      <c r="W27" s="73">
        <v>3</v>
      </c>
      <c r="X27" s="209"/>
      <c r="Y27" s="209"/>
      <c r="AA27" s="4">
        <f t="shared" si="25"/>
        <v>124.95011793719438</v>
      </c>
      <c r="AB27" s="4">
        <f t="shared" si="22"/>
        <v>348.12742776887461</v>
      </c>
    </row>
    <row r="28" spans="1:28" x14ac:dyDescent="0.2">
      <c r="A28" s="223">
        <f t="shared" si="9"/>
        <v>13783.393501805054</v>
      </c>
      <c r="B28" s="223">
        <f t="shared" si="10"/>
        <v>55133.574007220217</v>
      </c>
      <c r="C28" s="2">
        <f t="shared" si="20"/>
        <v>18</v>
      </c>
      <c r="D28" s="217">
        <f t="shared" si="12"/>
        <v>2300</v>
      </c>
      <c r="E28" s="218">
        <v>9200</v>
      </c>
      <c r="F28" s="4">
        <f t="shared" si="0"/>
        <v>31.580937599999999</v>
      </c>
      <c r="G28" s="15">
        <f t="shared" si="11"/>
        <v>9168.4190624000003</v>
      </c>
      <c r="H28" s="4">
        <f t="shared" si="1"/>
        <v>95.777018694365552</v>
      </c>
      <c r="I28" s="15">
        <f t="shared" si="2"/>
        <v>127.35795629436555</v>
      </c>
      <c r="J28" s="17">
        <f t="shared" si="8"/>
        <v>1.3843256118952776E-2</v>
      </c>
      <c r="K28" s="15">
        <f t="shared" si="13"/>
        <v>9072.6420437056349</v>
      </c>
      <c r="L28" s="4">
        <f t="shared" si="3"/>
        <v>200.47386400347537</v>
      </c>
      <c r="M28" s="15">
        <f t="shared" si="14"/>
        <v>8872.1681797021593</v>
      </c>
      <c r="N28" s="4">
        <f t="shared" si="4"/>
        <v>27.901449415333616</v>
      </c>
      <c r="O28" s="15">
        <f t="shared" si="5"/>
        <v>355.73326971317454</v>
      </c>
      <c r="P28" s="221">
        <f t="shared" si="6"/>
        <v>3.8666659751432013E-2</v>
      </c>
      <c r="Q28" s="221">
        <f t="shared" si="23"/>
        <v>3.9657964099258099E-2</v>
      </c>
      <c r="R28" s="141">
        <f t="shared" si="15"/>
        <v>3.9739936483022029E-2</v>
      </c>
      <c r="S28" s="141">
        <f t="shared" si="16"/>
        <v>1.48695526277926E-2</v>
      </c>
      <c r="T28" s="220">
        <f t="shared" si="21"/>
        <v>1.3843256118952776E-2</v>
      </c>
      <c r="U28" s="221">
        <f t="shared" si="24"/>
        <v>1.4878038727648429E-2</v>
      </c>
      <c r="V28" s="73">
        <v>4</v>
      </c>
      <c r="W28" s="73">
        <v>4</v>
      </c>
      <c r="X28" s="209"/>
      <c r="Y28" s="209"/>
      <c r="AA28" s="4">
        <f t="shared" si="25"/>
        <v>136.87795629436556</v>
      </c>
      <c r="AB28" s="4">
        <f t="shared" si="22"/>
        <v>364.85326971317448</v>
      </c>
    </row>
    <row r="29" spans="1:28" s="5" customFormat="1" x14ac:dyDescent="0.2">
      <c r="A29" s="225">
        <f t="shared" si="9"/>
        <v>14382.671480144405</v>
      </c>
      <c r="B29" s="225">
        <f t="shared" si="10"/>
        <v>57530.68592057762</v>
      </c>
      <c r="C29" s="73">
        <f t="shared" si="20"/>
        <v>19</v>
      </c>
      <c r="D29" s="218">
        <f t="shared" si="12"/>
        <v>2400</v>
      </c>
      <c r="E29" s="218">
        <v>9600</v>
      </c>
      <c r="F29" s="4">
        <f t="shared" si="0"/>
        <v>32.713374399999999</v>
      </c>
      <c r="G29" s="15">
        <f t="shared" si="11"/>
        <v>9567.2866255999998</v>
      </c>
      <c r="H29" s="4">
        <f t="shared" si="1"/>
        <v>104.29175453531887</v>
      </c>
      <c r="I29" s="15">
        <f t="shared" si="2"/>
        <v>137.00512893531888</v>
      </c>
      <c r="J29" s="17">
        <f t="shared" si="8"/>
        <v>1.4271367597429051E-2</v>
      </c>
      <c r="K29" s="15">
        <f t="shared" si="13"/>
        <v>9462.9948710646804</v>
      </c>
      <c r="L29" s="4">
        <f t="shared" si="3"/>
        <v>203.10466212540206</v>
      </c>
      <c r="M29" s="15">
        <f t="shared" si="14"/>
        <v>9259.8902089392777</v>
      </c>
      <c r="N29" s="4">
        <f t="shared" si="4"/>
        <v>30.393373565963305</v>
      </c>
      <c r="O29" s="15">
        <f t="shared" si="5"/>
        <v>370.50316462668422</v>
      </c>
      <c r="P29" s="221">
        <f t="shared" si="6"/>
        <v>3.8594079648612938E-2</v>
      </c>
      <c r="Q29" s="221">
        <f t="shared" si="23"/>
        <v>3.9833210083395548E-2</v>
      </c>
      <c r="R29" s="141">
        <f t="shared" si="15"/>
        <v>3.9901662454873643E-2</v>
      </c>
      <c r="S29" s="141">
        <f t="shared" si="16"/>
        <v>1.5555137353339351E-2</v>
      </c>
      <c r="T29" s="221">
        <f t="shared" si="21"/>
        <v>1.4271367597429051E-2</v>
      </c>
      <c r="U29" s="221">
        <f t="shared" si="24"/>
        <v>1.5564845858298617E-2</v>
      </c>
      <c r="V29" s="73">
        <v>5</v>
      </c>
      <c r="W29" s="73">
        <v>5</v>
      </c>
      <c r="X29" s="209"/>
      <c r="Y29" s="209"/>
      <c r="AA29" s="15">
        <f t="shared" si="25"/>
        <v>149.42252023966671</v>
      </c>
      <c r="AB29" s="15">
        <f t="shared" si="22"/>
        <v>382.39881680059727</v>
      </c>
    </row>
    <row r="30" spans="1:28" s="5" customFormat="1" x14ac:dyDescent="0.2">
      <c r="A30" s="225">
        <f t="shared" si="9"/>
        <v>14981.949458483754</v>
      </c>
      <c r="B30" s="225">
        <f t="shared" si="10"/>
        <v>59927.797833935016</v>
      </c>
      <c r="C30" s="73">
        <f t="shared" si="20"/>
        <v>20</v>
      </c>
      <c r="D30" s="218">
        <f t="shared" si="12"/>
        <v>2500</v>
      </c>
      <c r="E30" s="218">
        <v>10000</v>
      </c>
      <c r="F30" s="4">
        <f t="shared" si="0"/>
        <v>33.893999999999998</v>
      </c>
      <c r="G30" s="15">
        <f t="shared" si="11"/>
        <v>9966.1059999999998</v>
      </c>
      <c r="H30" s="4">
        <f t="shared" si="1"/>
        <v>113.16793924171907</v>
      </c>
      <c r="I30" s="15">
        <f t="shared" si="2"/>
        <v>147.06193924171907</v>
      </c>
      <c r="J30" s="17">
        <f t="shared" si="8"/>
        <v>1.4706193924171907E-2</v>
      </c>
      <c r="K30" s="15">
        <f t="shared" si="13"/>
        <v>9852.9380607582807</v>
      </c>
      <c r="L30" s="4">
        <f t="shared" si="3"/>
        <v>205.84333215244655</v>
      </c>
      <c r="M30" s="15">
        <f t="shared" si="14"/>
        <v>9647.0947286058345</v>
      </c>
      <c r="N30" s="4">
        <f t="shared" si="4"/>
        <v>32.988329153637089</v>
      </c>
      <c r="O30" s="15">
        <f t="shared" si="5"/>
        <v>385.89360054780275</v>
      </c>
      <c r="P30" s="221">
        <f t="shared" si="6"/>
        <v>3.8589360054780274E-2</v>
      </c>
      <c r="Q30" s="221">
        <f t="shared" si="23"/>
        <v>4.0076316576519402E-2</v>
      </c>
      <c r="R30" s="141">
        <f t="shared" si="15"/>
        <v>4.0135167557160047E-2</v>
      </c>
      <c r="S30" s="141">
        <f t="shared" si="16"/>
        <v>1.6247872894103486E-2</v>
      </c>
      <c r="T30" s="221">
        <f t="shared" si="21"/>
        <v>1.4706193924171907E-2</v>
      </c>
      <c r="U30" s="221">
        <f t="shared" si="24"/>
        <v>1.6258367837215387E-2</v>
      </c>
      <c r="V30" s="73">
        <v>6</v>
      </c>
      <c r="W30" s="73">
        <v>6</v>
      </c>
      <c r="X30" s="209"/>
      <c r="Y30" s="209"/>
      <c r="AA30" s="15">
        <f t="shared" si="25"/>
        <v>162.58367837215386</v>
      </c>
      <c r="AB30" s="15">
        <f t="shared" si="22"/>
        <v>400.763165765194</v>
      </c>
    </row>
    <row r="31" spans="1:28" s="155" customFormat="1" x14ac:dyDescent="0.2">
      <c r="A31" s="224">
        <f t="shared" si="9"/>
        <v>15581.227436823105</v>
      </c>
      <c r="B31" s="224">
        <f t="shared" si="10"/>
        <v>62324.909747292419</v>
      </c>
      <c r="C31" s="139">
        <f t="shared" si="20"/>
        <v>21</v>
      </c>
      <c r="D31" s="219">
        <f t="shared" si="12"/>
        <v>2600</v>
      </c>
      <c r="E31" s="219">
        <v>10400</v>
      </c>
      <c r="F31" s="4">
        <f t="shared" si="0"/>
        <v>35.122814400000003</v>
      </c>
      <c r="G31" s="151">
        <f t="shared" si="11"/>
        <v>10364.8771856</v>
      </c>
      <c r="H31" s="4">
        <f t="shared" si="1"/>
        <v>122.40544142849711</v>
      </c>
      <c r="I31" s="151">
        <f t="shared" si="2"/>
        <v>157.52825582849712</v>
      </c>
      <c r="J31" s="152">
        <f t="shared" si="8"/>
        <v>1.5146947675817032E-2</v>
      </c>
      <c r="K31" s="15">
        <f t="shared" si="13"/>
        <v>10242.471744171504</v>
      </c>
      <c r="L31" s="4">
        <f t="shared" si="3"/>
        <v>208.68952658537569</v>
      </c>
      <c r="M31" s="151">
        <f t="shared" si="14"/>
        <v>10033.782217586127</v>
      </c>
      <c r="N31" s="4">
        <f t="shared" si="4"/>
        <v>35.685893420212821</v>
      </c>
      <c r="O31" s="151">
        <f t="shared" si="5"/>
        <v>401.90367583408562</v>
      </c>
      <c r="P31" s="222">
        <f t="shared" si="6"/>
        <v>3.8644584214815925E-2</v>
      </c>
      <c r="Q31" s="221">
        <f t="shared" si="23"/>
        <v>4.0379366823511578E-2</v>
      </c>
      <c r="R31" s="153">
        <f t="shared" si="15"/>
        <v>4.0432169582523367E-2</v>
      </c>
      <c r="S31" s="153">
        <f t="shared" si="16"/>
        <v>1.6946934156021474E-2</v>
      </c>
      <c r="T31" s="222">
        <f t="shared" si="21"/>
        <v>1.5146947675817032E-2</v>
      </c>
      <c r="U31" s="221">
        <f t="shared" si="24"/>
        <v>1.6957817241034422E-2</v>
      </c>
      <c r="V31" s="139">
        <v>7</v>
      </c>
      <c r="W31" s="139">
        <v>7</v>
      </c>
      <c r="X31" s="209"/>
      <c r="Y31" s="209"/>
      <c r="AA31" s="151">
        <f t="shared" si="25"/>
        <v>176.36129930675799</v>
      </c>
      <c r="AB31" s="151">
        <f t="shared" si="22"/>
        <v>419.94541496452041</v>
      </c>
    </row>
    <row r="32" spans="1:28" s="155" customFormat="1" x14ac:dyDescent="0.2">
      <c r="A32" s="224">
        <f t="shared" si="9"/>
        <v>16180.505415162455</v>
      </c>
      <c r="B32" s="224">
        <f t="shared" si="10"/>
        <v>64722.021660649822</v>
      </c>
      <c r="C32" s="139">
        <f t="shared" si="20"/>
        <v>22</v>
      </c>
      <c r="D32" s="219">
        <f t="shared" si="12"/>
        <v>2700</v>
      </c>
      <c r="E32" s="219">
        <v>10800</v>
      </c>
      <c r="F32" s="4">
        <f t="shared" si="0"/>
        <v>36.399817600000006</v>
      </c>
      <c r="G32" s="151">
        <f t="shared" si="11"/>
        <v>10763.6001824</v>
      </c>
      <c r="H32" s="4">
        <f t="shared" si="1"/>
        <v>132.0041297264591</v>
      </c>
      <c r="I32" s="151">
        <f t="shared" si="2"/>
        <v>168.4039473264591</v>
      </c>
      <c r="J32" s="152">
        <f t="shared" si="8"/>
        <v>1.5592958085783251E-2</v>
      </c>
      <c r="K32" s="15">
        <f t="shared" si="13"/>
        <v>10631.59605267354</v>
      </c>
      <c r="L32" s="4">
        <f t="shared" si="3"/>
        <v>211.64289843962388</v>
      </c>
      <c r="M32" s="151">
        <f t="shared" si="14"/>
        <v>10419.953154233915</v>
      </c>
      <c r="N32" s="4">
        <f t="shared" si="4"/>
        <v>38.485644697614738</v>
      </c>
      <c r="O32" s="151">
        <f t="shared" si="5"/>
        <v>418.53249046369774</v>
      </c>
      <c r="P32" s="222">
        <f t="shared" si="6"/>
        <v>3.8753008376268307E-2</v>
      </c>
      <c r="Q32" s="221">
        <f t="shared" si="23"/>
        <v>4.0735617071920478E-2</v>
      </c>
      <c r="R32" s="153">
        <f t="shared" si="15"/>
        <v>4.0785613317288402E-2</v>
      </c>
      <c r="S32" s="153">
        <f t="shared" si="16"/>
        <v>1.7651618281187321E-2</v>
      </c>
      <c r="T32" s="222">
        <f t="shared" si="21"/>
        <v>1.5592958085783251E-2</v>
      </c>
      <c r="U32" s="221">
        <f t="shared" si="24"/>
        <v>1.7662523303174554E-2</v>
      </c>
      <c r="V32" s="139">
        <v>8</v>
      </c>
      <c r="W32" s="139">
        <v>8</v>
      </c>
      <c r="X32" s="209"/>
      <c r="Y32" s="209"/>
      <c r="AA32" s="151">
        <f t="shared" si="25"/>
        <v>190.75525167428518</v>
      </c>
      <c r="AB32" s="151">
        <f t="shared" si="22"/>
        <v>439.94466437674117</v>
      </c>
    </row>
    <row r="33" spans="1:28" s="155" customFormat="1" x14ac:dyDescent="0.2">
      <c r="A33" s="224">
        <f t="shared" si="9"/>
        <v>16779.783393501806</v>
      </c>
      <c r="B33" s="224">
        <f t="shared" si="10"/>
        <v>67119.133574007225</v>
      </c>
      <c r="C33" s="139">
        <f t="shared" si="20"/>
        <v>23</v>
      </c>
      <c r="D33" s="219">
        <f t="shared" si="12"/>
        <v>2800</v>
      </c>
      <c r="E33" s="219">
        <v>11200</v>
      </c>
      <c r="F33" s="4">
        <f t="shared" si="0"/>
        <v>37.7250096</v>
      </c>
      <c r="G33" s="151">
        <f t="shared" si="11"/>
        <v>11162.274990399999</v>
      </c>
      <c r="H33" s="4">
        <f t="shared" si="1"/>
        <v>141.96387278228622</v>
      </c>
      <c r="I33" s="151">
        <f t="shared" si="2"/>
        <v>179.68888238228621</v>
      </c>
      <c r="J33" s="152">
        <f t="shared" si="8"/>
        <v>1.6043650212704125E-2</v>
      </c>
      <c r="K33" s="15">
        <f t="shared" si="13"/>
        <v>11020.311117617714</v>
      </c>
      <c r="L33" s="4">
        <f t="shared" si="3"/>
        <v>214.70310124487946</v>
      </c>
      <c r="M33" s="151">
        <f t="shared" si="14"/>
        <v>10805.608016372835</v>
      </c>
      <c r="N33" s="4">
        <f t="shared" si="4"/>
        <v>41.387162405356918</v>
      </c>
      <c r="O33" s="151">
        <f t="shared" si="5"/>
        <v>435.77914603252259</v>
      </c>
      <c r="P33" s="222">
        <f t="shared" si="6"/>
        <v>3.8908852324332374E-2</v>
      </c>
      <c r="Q33" s="221">
        <f t="shared" si="23"/>
        <v>4.1139287106941071E-2</v>
      </c>
      <c r="R33" s="153">
        <f t="shared" si="15"/>
        <v>4.1189451435447826E-2</v>
      </c>
      <c r="S33" s="153">
        <f t="shared" si="16"/>
        <v>1.836132281996734E-2</v>
      </c>
      <c r="T33" s="222">
        <f t="shared" si="21"/>
        <v>1.6043650212704125E-2</v>
      </c>
      <c r="U33" s="221">
        <f t="shared" si="24"/>
        <v>1.8371911082269342E-2</v>
      </c>
      <c r="V33" s="139">
        <v>9</v>
      </c>
      <c r="W33" s="139">
        <v>9</v>
      </c>
      <c r="X33" s="209"/>
      <c r="Y33" s="209"/>
      <c r="AA33" s="151">
        <f t="shared" si="25"/>
        <v>205.76540412141662</v>
      </c>
      <c r="AB33" s="151">
        <f t="shared" si="22"/>
        <v>460.76001559773999</v>
      </c>
    </row>
    <row r="34" spans="1:28" s="155" customFormat="1" x14ac:dyDescent="0.2">
      <c r="A34" s="224">
        <f t="shared" si="9"/>
        <v>17379.061371841155</v>
      </c>
      <c r="B34" s="224">
        <f t="shared" si="10"/>
        <v>69516.24548736462</v>
      </c>
      <c r="C34" s="139">
        <f t="shared" si="20"/>
        <v>24</v>
      </c>
      <c r="D34" s="219">
        <f t="shared" si="12"/>
        <v>2900</v>
      </c>
      <c r="E34" s="219">
        <v>11600</v>
      </c>
      <c r="F34" s="4">
        <f t="shared" si="0"/>
        <v>39.0983904</v>
      </c>
      <c r="G34" s="151">
        <f t="shared" si="11"/>
        <v>11560.9016096</v>
      </c>
      <c r="H34" s="4">
        <f t="shared" si="1"/>
        <v>152.28453925853472</v>
      </c>
      <c r="I34" s="151">
        <f t="shared" si="2"/>
        <v>191.38292965853472</v>
      </c>
      <c r="J34" s="152">
        <f t="shared" si="8"/>
        <v>1.6498528418839201E-2</v>
      </c>
      <c r="K34" s="15">
        <f t="shared" si="13"/>
        <v>11408.617070341465</v>
      </c>
      <c r="L34" s="4">
        <f t="shared" si="3"/>
        <v>217.86978904467139</v>
      </c>
      <c r="M34" s="151">
        <f t="shared" si="14"/>
        <v>11190.747281296794</v>
      </c>
      <c r="N34" s="4">
        <f t="shared" si="4"/>
        <v>44.390027048071829</v>
      </c>
      <c r="O34" s="151">
        <f t="shared" si="5"/>
        <v>453.64274575127797</v>
      </c>
      <c r="P34" s="222">
        <f t="shared" si="6"/>
        <v>3.9107133254420515E-2</v>
      </c>
      <c r="Q34" s="221">
        <f t="shared" si="23"/>
        <v>4.1585394123985729E-2</v>
      </c>
      <c r="R34" s="153">
        <f t="shared" si="15"/>
        <v>4.1638470724926345E-2</v>
      </c>
      <c r="S34" s="153">
        <f t="shared" si="16"/>
        <v>1.9075528419229014E-2</v>
      </c>
      <c r="T34" s="222">
        <f t="shared" si="21"/>
        <v>1.6498528418839201E-2</v>
      </c>
      <c r="U34" s="221">
        <f t="shared" si="24"/>
        <v>1.908548494057833E-2</v>
      </c>
      <c r="V34" s="139">
        <v>10</v>
      </c>
      <c r="W34" s="139">
        <v>10</v>
      </c>
      <c r="X34" s="209"/>
      <c r="Y34" s="209"/>
      <c r="AA34" s="151">
        <f t="shared" si="25"/>
        <v>221.39162531070863</v>
      </c>
      <c r="AB34" s="151">
        <f t="shared" si="22"/>
        <v>482.39057183823445</v>
      </c>
    </row>
    <row r="35" spans="1:28" s="155" customFormat="1" x14ac:dyDescent="0.2">
      <c r="A35" s="224">
        <f t="shared" si="9"/>
        <v>17978.339350180504</v>
      </c>
      <c r="B35" s="224">
        <f t="shared" si="10"/>
        <v>71913.357400722016</v>
      </c>
      <c r="C35" s="139">
        <f t="shared" si="20"/>
        <v>25</v>
      </c>
      <c r="D35" s="219">
        <f t="shared" si="12"/>
        <v>3000</v>
      </c>
      <c r="E35" s="219">
        <v>12000</v>
      </c>
      <c r="F35" s="4">
        <f t="shared" si="0"/>
        <v>40.519959999999998</v>
      </c>
      <c r="G35" s="151">
        <f t="shared" si="11"/>
        <v>11959.48004</v>
      </c>
      <c r="H35" s="4">
        <f t="shared" si="1"/>
        <v>162.96599783363601</v>
      </c>
      <c r="I35" s="151">
        <f t="shared" si="2"/>
        <v>203.48595783363601</v>
      </c>
      <c r="J35" s="152">
        <f t="shared" si="8"/>
        <v>1.6957163152803E-2</v>
      </c>
      <c r="K35" s="15">
        <f t="shared" si="13"/>
        <v>11796.514042166364</v>
      </c>
      <c r="L35" s="4">
        <f t="shared" si="3"/>
        <v>221.14261639595588</v>
      </c>
      <c r="M35" s="151">
        <f t="shared" si="14"/>
        <v>11575.371425770409</v>
      </c>
      <c r="N35" s="4">
        <f t="shared" si="4"/>
        <v>47.49382021304438</v>
      </c>
      <c r="O35" s="151">
        <f t="shared" si="5"/>
        <v>472.12239444263628</v>
      </c>
      <c r="P35" s="222">
        <f t="shared" si="6"/>
        <v>3.9343532870219688E-2</v>
      </c>
      <c r="Q35" s="221">
        <f t="shared" si="23"/>
        <v>4.2069619826741428E-2</v>
      </c>
      <c r="R35" s="153">
        <f t="shared" si="15"/>
        <v>4.212815306859205E-2</v>
      </c>
      <c r="S35" s="153">
        <f t="shared" si="16"/>
        <v>1.9793784972924184E-2</v>
      </c>
      <c r="T35" s="222">
        <f t="shared" si="21"/>
        <v>1.6957163152803E-2</v>
      </c>
      <c r="U35" s="221">
        <f t="shared" si="24"/>
        <v>1.9802815326716044E-2</v>
      </c>
      <c r="V35" s="139">
        <v>11</v>
      </c>
      <c r="W35" s="139">
        <v>11</v>
      </c>
      <c r="X35" s="209"/>
      <c r="Y35" s="209"/>
      <c r="AA35" s="151">
        <f t="shared" si="25"/>
        <v>237.63378392059252</v>
      </c>
      <c r="AB35" s="151">
        <f t="shared" si="22"/>
        <v>504.83543792089711</v>
      </c>
    </row>
    <row r="36" spans="1:28" s="155" customFormat="1" x14ac:dyDescent="0.2">
      <c r="A36" s="224">
        <f t="shared" si="9"/>
        <v>18577.617328519857</v>
      </c>
      <c r="B36" s="224">
        <f t="shared" si="10"/>
        <v>74310.469314079426</v>
      </c>
      <c r="C36" s="139">
        <f t="shared" si="20"/>
        <v>26</v>
      </c>
      <c r="D36" s="219">
        <f t="shared" si="12"/>
        <v>3100</v>
      </c>
      <c r="E36" s="219">
        <v>12400</v>
      </c>
      <c r="F36" s="4">
        <f t="shared" si="0"/>
        <v>41.989718400000001</v>
      </c>
      <c r="G36" s="151">
        <f t="shared" si="11"/>
        <v>12358.0102816</v>
      </c>
      <c r="H36" s="4">
        <f t="shared" si="1"/>
        <v>174.0081172018964</v>
      </c>
      <c r="I36" s="151">
        <f t="shared" si="2"/>
        <v>215.99783560189638</v>
      </c>
      <c r="J36" s="152">
        <f t="shared" si="8"/>
        <v>1.7419180290475515E-2</v>
      </c>
      <c r="K36" s="15">
        <f t="shared" si="13"/>
        <v>12184.002164398104</v>
      </c>
      <c r="L36" s="4">
        <f t="shared" si="3"/>
        <v>224.52123836870342</v>
      </c>
      <c r="M36" s="151">
        <f t="shared" si="14"/>
        <v>11959.480926029401</v>
      </c>
      <c r="N36" s="4">
        <f t="shared" si="4"/>
        <v>50.698124567750845</v>
      </c>
      <c r="O36" s="151">
        <f t="shared" si="5"/>
        <v>491.21719853835066</v>
      </c>
      <c r="P36" s="222">
        <f t="shared" si="6"/>
        <v>3.96142902047057E-2</v>
      </c>
      <c r="Q36" s="221">
        <f t="shared" si="23"/>
        <v>4.2588203248183965E-2</v>
      </c>
      <c r="R36" s="153">
        <f t="shared" si="15"/>
        <v>4.2654563332168785E-2</v>
      </c>
      <c r="S36" s="153">
        <f t="shared" si="16"/>
        <v>2.0515700453204458E-2</v>
      </c>
      <c r="T36" s="222">
        <f t="shared" si="21"/>
        <v>1.7419180290475515E-2</v>
      </c>
      <c r="U36" s="221">
        <f t="shared" si="24"/>
        <v>2.0523528116562471E-2</v>
      </c>
      <c r="V36" s="139">
        <v>12</v>
      </c>
      <c r="W36" s="139">
        <v>12</v>
      </c>
      <c r="X36" s="209"/>
      <c r="Y36" s="209"/>
      <c r="AA36" s="151">
        <f t="shared" si="25"/>
        <v>254.49174864537463</v>
      </c>
      <c r="AB36" s="151">
        <f t="shared" si="22"/>
        <v>528.09372027748111</v>
      </c>
    </row>
    <row r="37" spans="1:28" s="155" customFormat="1" x14ac:dyDescent="0.2">
      <c r="A37" s="224">
        <f t="shared" si="9"/>
        <v>19176.895306859205</v>
      </c>
      <c r="B37" s="224">
        <f t="shared" si="10"/>
        <v>76707.581227436822</v>
      </c>
      <c r="C37" s="139">
        <f t="shared" si="20"/>
        <v>27</v>
      </c>
      <c r="D37" s="219">
        <f t="shared" si="12"/>
        <v>3200</v>
      </c>
      <c r="E37" s="219">
        <v>12800</v>
      </c>
      <c r="F37" s="4">
        <f t="shared" si="0"/>
        <v>43.507665599999996</v>
      </c>
      <c r="G37" s="151">
        <f t="shared" si="11"/>
        <v>12756.4923344</v>
      </c>
      <c r="H37" s="4">
        <f t="shared" si="1"/>
        <v>185.41076607349746</v>
      </c>
      <c r="I37" s="151">
        <f t="shared" si="2"/>
        <v>228.91843167349745</v>
      </c>
      <c r="J37" s="152">
        <f t="shared" si="8"/>
        <v>1.7884252474491987E-2</v>
      </c>
      <c r="K37" s="15">
        <f t="shared" si="13"/>
        <v>12571.081568326503</v>
      </c>
      <c r="L37" s="4">
        <f t="shared" si="3"/>
        <v>228.00531054548586</v>
      </c>
      <c r="M37" s="151">
        <f t="shared" si="14"/>
        <v>12343.076257781016</v>
      </c>
      <c r="N37" s="4">
        <f t="shared" si="4"/>
        <v>54.002523857403176</v>
      </c>
      <c r="O37" s="151">
        <f t="shared" si="5"/>
        <v>510.92626607638647</v>
      </c>
      <c r="P37" s="222">
        <f t="shared" si="6"/>
        <v>3.991611453721769E-2</v>
      </c>
      <c r="Q37" s="221">
        <f t="shared" si="23"/>
        <v>4.3137853667652472E-2</v>
      </c>
      <c r="R37" s="153">
        <f t="shared" si="15"/>
        <v>4.3214258273164857E-2</v>
      </c>
      <c r="S37" s="153">
        <f t="shared" si="16"/>
        <v>2.1240931835702467E-2</v>
      </c>
      <c r="T37" s="222">
        <f t="shared" si="21"/>
        <v>1.7884252474491987E-2</v>
      </c>
      <c r="U37" s="221">
        <f t="shared" ref="U37:U45" si="26">T37+(W37/$W$47)*$Q$69</f>
        <v>2.1247295952752855E-2</v>
      </c>
      <c r="V37" s="139">
        <v>13</v>
      </c>
      <c r="W37" s="139">
        <v>13</v>
      </c>
      <c r="X37" s="209"/>
      <c r="Y37" s="209"/>
      <c r="AA37" s="151">
        <f t="shared" si="25"/>
        <v>271.96538819523653</v>
      </c>
      <c r="AB37" s="151">
        <f t="shared" si="22"/>
        <v>552.16452694595159</v>
      </c>
    </row>
    <row r="38" spans="1:28" s="155" customFormat="1" x14ac:dyDescent="0.2">
      <c r="A38" s="224">
        <f t="shared" si="9"/>
        <v>19776.173285198554</v>
      </c>
      <c r="B38" s="224">
        <f t="shared" si="10"/>
        <v>79104.693140794217</v>
      </c>
      <c r="C38" s="139">
        <f t="shared" si="20"/>
        <v>28</v>
      </c>
      <c r="D38" s="219">
        <f t="shared" si="12"/>
        <v>3300</v>
      </c>
      <c r="E38" s="219">
        <v>13200</v>
      </c>
      <c r="F38" s="4">
        <f t="shared" si="0"/>
        <v>45.073801599999996</v>
      </c>
      <c r="G38" s="151">
        <f t="shared" si="11"/>
        <v>13154.9261984</v>
      </c>
      <c r="H38" s="4">
        <f t="shared" si="1"/>
        <v>197.17381317449571</v>
      </c>
      <c r="I38" s="151">
        <f t="shared" si="2"/>
        <v>242.2476147744957</v>
      </c>
      <c r="J38" s="152">
        <f t="shared" si="8"/>
        <v>1.8352092028370886E-2</v>
      </c>
      <c r="K38" s="15">
        <f t="shared" si="13"/>
        <v>12957.752385225505</v>
      </c>
      <c r="L38" s="4">
        <f t="shared" si="3"/>
        <v>231.59448902106388</v>
      </c>
      <c r="M38" s="151">
        <f t="shared" ref="M38:M52" si="27">+K38-L38</f>
        <v>12726.157896204442</v>
      </c>
      <c r="N38" s="4">
        <f t="shared" si="4"/>
        <v>57.406602902498449</v>
      </c>
      <c r="O38" s="151">
        <f t="shared" si="5"/>
        <v>531.24870669805807</v>
      </c>
      <c r="P38" s="222">
        <f t="shared" si="6"/>
        <v>4.0246114143792276E-2</v>
      </c>
      <c r="Q38" s="221">
        <f t="shared" si="23"/>
        <v>4.3715679361183583E-2</v>
      </c>
      <c r="R38" s="153">
        <f t="shared" si="15"/>
        <v>4.3804212011814891E-2</v>
      </c>
      <c r="S38" s="153">
        <f t="shared" si="16"/>
        <v>2.1969177674762058E-2</v>
      </c>
      <c r="T38" s="222">
        <f t="shared" si="21"/>
        <v>1.8352092028370886E-2</v>
      </c>
      <c r="U38" s="221">
        <f t="shared" si="26"/>
        <v>2.1973831158805669E-2</v>
      </c>
      <c r="V38" s="139">
        <v>14</v>
      </c>
      <c r="W38" s="139">
        <v>14</v>
      </c>
      <c r="X38" s="209"/>
      <c r="Y38" s="209"/>
      <c r="AA38" s="151">
        <f t="shared" si="25"/>
        <v>290.05457129623483</v>
      </c>
      <c r="AB38" s="151">
        <f t="shared" si="22"/>
        <v>577.04696756762326</v>
      </c>
    </row>
    <row r="39" spans="1:28" s="155" customFormat="1" x14ac:dyDescent="0.2">
      <c r="A39" s="224">
        <f t="shared" si="9"/>
        <v>20375.451263537907</v>
      </c>
      <c r="B39" s="224">
        <f t="shared" si="10"/>
        <v>81501.805054151628</v>
      </c>
      <c r="C39" s="139">
        <f t="shared" si="20"/>
        <v>29</v>
      </c>
      <c r="D39" s="219">
        <f t="shared" si="12"/>
        <v>3400</v>
      </c>
      <c r="E39" s="219">
        <v>13600</v>
      </c>
      <c r="F39" s="4">
        <f t="shared" si="0"/>
        <v>46.688126400000002</v>
      </c>
      <c r="G39" s="151">
        <f t="shared" si="11"/>
        <v>13553.3118736</v>
      </c>
      <c r="H39" s="4">
        <f t="shared" si="1"/>
        <v>209.29712724682281</v>
      </c>
      <c r="I39" s="151">
        <f t="shared" si="2"/>
        <v>255.9852536468228</v>
      </c>
      <c r="J39" s="152">
        <f t="shared" si="8"/>
        <v>1.8822445121089913E-2</v>
      </c>
      <c r="K39" s="15">
        <f t="shared" si="13"/>
        <v>13344.014746353178</v>
      </c>
      <c r="L39" s="4">
        <f t="shared" si="3"/>
        <v>235.28843040197444</v>
      </c>
      <c r="M39" s="151">
        <f t="shared" si="27"/>
        <v>13108.726315951204</v>
      </c>
      <c r="N39" s="4">
        <f t="shared" si="4"/>
        <v>60.909947596373314</v>
      </c>
      <c r="O39" s="151">
        <f t="shared" si="5"/>
        <v>552.18363164517052</v>
      </c>
      <c r="P39" s="222">
        <f t="shared" si="6"/>
        <v>4.0601737620968421E-2</v>
      </c>
      <c r="Q39" s="221">
        <f>P39+(V39/$V$47)*$P$69</f>
        <v>4.4319128925316247E-2</v>
      </c>
      <c r="R39" s="153">
        <f t="shared" si="15"/>
        <v>4.4421754654208251E-2</v>
      </c>
      <c r="S39" s="153">
        <f t="shared" si="16"/>
        <v>2.2700171988921925E-2</v>
      </c>
      <c r="T39" s="222">
        <f t="shared" si="21"/>
        <v>1.8822445121089913E-2</v>
      </c>
      <c r="U39" s="221">
        <f t="shared" si="26"/>
        <v>2.2702879903698608E-2</v>
      </c>
      <c r="V39" s="139">
        <v>15</v>
      </c>
      <c r="W39" s="139">
        <v>15</v>
      </c>
      <c r="X39" s="209"/>
      <c r="Y39" s="209"/>
      <c r="AA39" s="151">
        <f t="shared" si="25"/>
        <v>308.75916669030107</v>
      </c>
      <c r="AB39" s="151">
        <f t="shared" si="22"/>
        <v>602.74015338430092</v>
      </c>
    </row>
    <row r="40" spans="1:28" s="413" customFormat="1" x14ac:dyDescent="0.2">
      <c r="A40" s="389">
        <f t="shared" si="9"/>
        <v>20974.729241877256</v>
      </c>
      <c r="B40" s="389">
        <f t="shared" si="10"/>
        <v>83898.916967509023</v>
      </c>
      <c r="C40" s="405">
        <f>1+C39</f>
        <v>30</v>
      </c>
      <c r="D40" s="405">
        <f t="shared" si="12"/>
        <v>3500</v>
      </c>
      <c r="E40" s="405">
        <v>14000</v>
      </c>
      <c r="F40" s="420">
        <f t="shared" si="0"/>
        <v>48.350639999999999</v>
      </c>
      <c r="G40" s="406">
        <f t="shared" si="11"/>
        <v>13951.649359999999</v>
      </c>
      <c r="H40" s="420">
        <f t="shared" ref="H40:H51" si="28">$H$71*G40*G40</f>
        <v>221.78057704828549</v>
      </c>
      <c r="I40" s="407">
        <f t="shared" si="2"/>
        <v>270.13121704828552</v>
      </c>
      <c r="J40" s="408">
        <f t="shared" si="8"/>
        <v>1.9295086932020394E-2</v>
      </c>
      <c r="K40" s="406">
        <f t="shared" si="13"/>
        <v>13729.868782951715</v>
      </c>
      <c r="L40" s="420">
        <f t="shared" si="3"/>
        <v>239.08679180611858</v>
      </c>
      <c r="M40" s="407">
        <f t="shared" si="27"/>
        <v>13490.781991145595</v>
      </c>
      <c r="N40" s="420">
        <f t="shared" si="4"/>
        <v>64.512144902763893</v>
      </c>
      <c r="O40" s="407">
        <f t="shared" si="5"/>
        <v>573.73015375716795</v>
      </c>
      <c r="P40" s="409">
        <f t="shared" si="6"/>
        <v>4.0980725268369142E-2</v>
      </c>
      <c r="Q40" s="415">
        <f>P40+(V40/$V$47)*$P$69</f>
        <v>4.4945942659673492E-2</v>
      </c>
      <c r="R40" s="410">
        <f t="shared" si="15"/>
        <v>4.5064521437166924E-2</v>
      </c>
      <c r="S40" s="410">
        <f t="shared" si="16"/>
        <v>2.3433679194602028E-2</v>
      </c>
      <c r="T40" s="409">
        <f t="shared" si="21"/>
        <v>1.9295086932020394E-2</v>
      </c>
      <c r="U40" s="415">
        <f t="shared" si="26"/>
        <v>2.3434217366803005E-2</v>
      </c>
      <c r="V40" s="411">
        <v>16</v>
      </c>
      <c r="W40" s="411">
        <v>16</v>
      </c>
      <c r="X40" s="412"/>
      <c r="Y40" s="412"/>
      <c r="AA40" s="407">
        <f t="shared" si="25"/>
        <v>328.07904313524205</v>
      </c>
      <c r="AB40" s="407">
        <f t="shared" si="22"/>
        <v>629.24319723542885</v>
      </c>
    </row>
    <row r="41" spans="1:28" s="417" customFormat="1" x14ac:dyDescent="0.2">
      <c r="A41" s="389">
        <f t="shared" si="9"/>
        <v>21574.007220216605</v>
      </c>
      <c r="B41" s="389">
        <f t="shared" si="10"/>
        <v>86296.028880866419</v>
      </c>
      <c r="C41" s="405">
        <f t="shared" si="20"/>
        <v>31</v>
      </c>
      <c r="D41" s="405">
        <f t="shared" si="12"/>
        <v>3600</v>
      </c>
      <c r="E41" s="405">
        <v>14400</v>
      </c>
      <c r="F41" s="420">
        <f t="shared" si="0"/>
        <v>50.061342400000001</v>
      </c>
      <c r="G41" s="406">
        <f t="shared" si="11"/>
        <v>14349.9386576</v>
      </c>
      <c r="H41" s="420">
        <f t="shared" si="28"/>
        <v>234.62403135256559</v>
      </c>
      <c r="I41" s="406">
        <f t="shared" si="2"/>
        <v>284.68537375256562</v>
      </c>
      <c r="J41" s="414">
        <f t="shared" si="8"/>
        <v>1.9769817621705946E-2</v>
      </c>
      <c r="K41" s="406">
        <f t="shared" si="13"/>
        <v>14115.314626247435</v>
      </c>
      <c r="L41" s="420">
        <f t="shared" si="3"/>
        <v>242.98923086234936</v>
      </c>
      <c r="M41" s="406">
        <f t="shared" si="27"/>
        <v>13872.325395385085</v>
      </c>
      <c r="N41" s="420">
        <f t="shared" si="4"/>
        <v>68.212782853370584</v>
      </c>
      <c r="O41" s="406">
        <f t="shared" si="5"/>
        <v>595.88738746828562</v>
      </c>
      <c r="P41" s="415">
        <f t="shared" si="6"/>
        <v>4.1381068574186504E-2</v>
      </c>
      <c r="Q41" s="415">
        <f t="shared" si="23"/>
        <v>4.5594112052447372E-2</v>
      </c>
      <c r="R41" s="416">
        <f t="shared" si="15"/>
        <v>4.5730410348977131E-2</v>
      </c>
      <c r="S41" s="416">
        <f t="shared" si="16"/>
        <v>2.416948988417569E-2</v>
      </c>
      <c r="T41" s="415">
        <f t="shared" si="21"/>
        <v>1.9769817621705946E-2</v>
      </c>
      <c r="U41" s="415">
        <f t="shared" si="26"/>
        <v>2.4167643708662468E-2</v>
      </c>
      <c r="V41" s="405">
        <v>17</v>
      </c>
      <c r="W41" s="405">
        <v>17</v>
      </c>
      <c r="X41" s="412"/>
      <c r="Y41" s="412"/>
      <c r="AA41" s="406">
        <f t="shared" si="25"/>
        <v>348.01406940473953</v>
      </c>
      <c r="AB41" s="406">
        <f t="shared" si="22"/>
        <v>656.55521355524218</v>
      </c>
    </row>
    <row r="42" spans="1:28" x14ac:dyDescent="0.2">
      <c r="A42" s="225">
        <f t="shared" si="9"/>
        <v>22173.285198555957</v>
      </c>
      <c r="B42" s="225">
        <f t="shared" si="10"/>
        <v>88693.140794223829</v>
      </c>
      <c r="C42" s="73">
        <f t="shared" si="20"/>
        <v>32</v>
      </c>
      <c r="D42" s="218">
        <f t="shared" si="12"/>
        <v>3700</v>
      </c>
      <c r="E42" s="218">
        <v>14800</v>
      </c>
      <c r="F42" s="4">
        <f t="shared" si="0"/>
        <v>51.820233600000002</v>
      </c>
      <c r="G42" s="15">
        <f t="shared" si="11"/>
        <v>14748.179766400001</v>
      </c>
      <c r="H42" s="4">
        <f t="shared" si="28"/>
        <v>247.82735894921998</v>
      </c>
      <c r="I42" s="15">
        <f t="shared" si="2"/>
        <v>299.64759254922001</v>
      </c>
      <c r="J42" s="17">
        <f t="shared" si="8"/>
        <v>2.024645895602838E-2</v>
      </c>
      <c r="K42" s="15">
        <f t="shared" si="13"/>
        <v>14500.35240745078</v>
      </c>
      <c r="L42" s="4">
        <f t="shared" si="3"/>
        <v>246.99540571005991</v>
      </c>
      <c r="M42" s="15">
        <f t="shared" si="27"/>
        <v>14253.35700174072</v>
      </c>
      <c r="N42" s="4">
        <f t="shared" si="4"/>
        <v>72.011450545427991</v>
      </c>
      <c r="O42" s="15">
        <f t="shared" si="5"/>
        <v>618.65444880470795</v>
      </c>
      <c r="P42" s="221">
        <f t="shared" si="6"/>
        <v>4.1800976270588375E-2</v>
      </c>
      <c r="Q42" s="221">
        <f t="shared" si="23"/>
        <v>4.6261845835805768E-2</v>
      </c>
      <c r="R42" s="141">
        <f t="shared" si="15"/>
        <v>4.6417546622434705E-2</v>
      </c>
      <c r="S42" s="141">
        <f t="shared" si="16"/>
        <v>2.4907417288678572E-2</v>
      </c>
      <c r="T42" s="221">
        <f t="shared" si="21"/>
        <v>2.024645895602838E-2</v>
      </c>
      <c r="U42" s="221">
        <f t="shared" si="26"/>
        <v>2.4902980695158814E-2</v>
      </c>
      <c r="V42" s="73">
        <v>18</v>
      </c>
      <c r="W42" s="73">
        <v>18</v>
      </c>
      <c r="X42" s="209"/>
      <c r="Y42" s="209"/>
      <c r="AA42" s="4">
        <f t="shared" si="25"/>
        <v>368.56411428835042</v>
      </c>
      <c r="AB42" s="4">
        <f t="shared" si="22"/>
        <v>684.67531836992532</v>
      </c>
    </row>
    <row r="43" spans="1:28" x14ac:dyDescent="0.2">
      <c r="A43" s="225">
        <f t="shared" si="9"/>
        <v>22772.563176895306</v>
      </c>
      <c r="B43" s="225">
        <f t="shared" si="10"/>
        <v>91090.252707581225</v>
      </c>
      <c r="C43" s="73">
        <f t="shared" si="20"/>
        <v>33</v>
      </c>
      <c r="D43" s="218">
        <f t="shared" si="12"/>
        <v>3800</v>
      </c>
      <c r="E43" s="218">
        <v>15200</v>
      </c>
      <c r="F43" s="4">
        <f t="shared" si="0"/>
        <v>53.627313600000001</v>
      </c>
      <c r="G43" s="15">
        <f t="shared" si="11"/>
        <v>15146.3726864</v>
      </c>
      <c r="H43" s="4">
        <f t="shared" si="28"/>
        <v>261.39042864368054</v>
      </c>
      <c r="I43" s="15">
        <f t="shared" si="2"/>
        <v>315.01774224368052</v>
      </c>
      <c r="J43" s="17">
        <f t="shared" si="8"/>
        <v>2.0724851463400033E-2</v>
      </c>
      <c r="K43" s="15">
        <f t="shared" si="13"/>
        <v>14884.982257756319</v>
      </c>
      <c r="L43" s="4">
        <f t="shared" si="3"/>
        <v>251.10497499877192</v>
      </c>
      <c r="M43" s="15">
        <f t="shared" si="27"/>
        <v>14633.877282757547</v>
      </c>
      <c r="N43" s="4">
        <f t="shared" si="4"/>
        <v>75.907738139280156</v>
      </c>
      <c r="O43" s="15">
        <f t="shared" si="5"/>
        <v>642.03045538173251</v>
      </c>
      <c r="P43" s="221">
        <f t="shared" si="6"/>
        <v>4.2238845748798194E-2</v>
      </c>
      <c r="Q43" s="221">
        <f t="shared" si="23"/>
        <v>4.6947541400972105E-2</v>
      </c>
      <c r="R43" s="141">
        <f t="shared" si="15"/>
        <v>4.7124252834251687E-2</v>
      </c>
      <c r="S43" s="141">
        <f t="shared" si="16"/>
        <v>2.5647294299037303E-2</v>
      </c>
      <c r="T43" s="221">
        <f t="shared" si="21"/>
        <v>2.0724851463400033E-2</v>
      </c>
      <c r="U43" s="221">
        <f t="shared" si="26"/>
        <v>2.5640068854704379E-2</v>
      </c>
      <c r="V43" s="73">
        <v>19</v>
      </c>
      <c r="W43" s="73">
        <v>19</v>
      </c>
      <c r="X43" s="209"/>
      <c r="Y43" s="209"/>
      <c r="AA43" s="4">
        <f t="shared" si="25"/>
        <v>389.72904659150657</v>
      </c>
      <c r="AB43" s="4">
        <f t="shared" si="22"/>
        <v>713.60262929477597</v>
      </c>
    </row>
    <row r="44" spans="1:28" s="148" customFormat="1" x14ac:dyDescent="0.2">
      <c r="A44" s="225">
        <f>B44/4</f>
        <v>23371.841155234659</v>
      </c>
      <c r="B44" s="225">
        <f t="shared" si="10"/>
        <v>93487.364620938635</v>
      </c>
      <c r="C44" s="73">
        <f t="shared" si="20"/>
        <v>34</v>
      </c>
      <c r="D44" s="218">
        <f t="shared" si="12"/>
        <v>3900</v>
      </c>
      <c r="E44" s="218">
        <v>15600</v>
      </c>
      <c r="F44" s="4">
        <f t="shared" si="0"/>
        <v>55.482582400000005</v>
      </c>
      <c r="G44" s="15">
        <f t="shared" si="11"/>
        <v>15544.5174176</v>
      </c>
      <c r="H44" s="4">
        <f t="shared" si="28"/>
        <v>275.31310925725444</v>
      </c>
      <c r="I44" s="15">
        <f t="shared" si="2"/>
        <v>330.79569165725445</v>
      </c>
      <c r="J44" s="17">
        <f t="shared" si="8"/>
        <v>2.1204852029311182E-2</v>
      </c>
      <c r="K44" s="15">
        <f t="shared" si="13"/>
        <v>15269.204308342745</v>
      </c>
      <c r="L44" s="4">
        <f t="shared" si="3"/>
        <v>255.31759788772405</v>
      </c>
      <c r="M44" s="15">
        <f t="shared" si="27"/>
        <v>15013.886710455021</v>
      </c>
      <c r="N44" s="4">
        <f t="shared" si="4"/>
        <v>79.901236855960789</v>
      </c>
      <c r="O44" s="15">
        <f t="shared" si="5"/>
        <v>666.01452640093919</v>
      </c>
      <c r="P44" s="221">
        <f t="shared" si="6"/>
        <v>4.2693238871855076E-2</v>
      </c>
      <c r="Q44" s="221">
        <f>P44+(V44/$V$47)*$P$69</f>
        <v>4.7649760610985512E-2</v>
      </c>
      <c r="R44" s="141">
        <f t="shared" si="15"/>
        <v>4.7849023604554286E-2</v>
      </c>
      <c r="S44" s="141">
        <f t="shared" si="16"/>
        <v>2.6388970945570678E-2</v>
      </c>
      <c r="T44" s="221">
        <f t="shared" si="21"/>
        <v>2.1204852029311182E-2</v>
      </c>
      <c r="U44" s="221">
        <f t="shared" si="26"/>
        <v>2.6378765072789443E-2</v>
      </c>
      <c r="V44" s="73">
        <v>20</v>
      </c>
      <c r="W44" s="73">
        <v>20</v>
      </c>
      <c r="X44" s="209"/>
      <c r="Y44" s="209"/>
      <c r="AA44" s="376">
        <f t="shared" si="25"/>
        <v>411.50873513551534</v>
      </c>
      <c r="AB44" s="376">
        <f t="shared" si="22"/>
        <v>743.33626553137401</v>
      </c>
    </row>
    <row r="45" spans="1:28" s="148" customFormat="1" x14ac:dyDescent="0.2">
      <c r="A45" s="225">
        <f>B45/4</f>
        <v>23971.119133574008</v>
      </c>
      <c r="B45" s="225">
        <f t="shared" si="10"/>
        <v>95884.476534296031</v>
      </c>
      <c r="C45" s="73">
        <f t="shared" si="20"/>
        <v>35</v>
      </c>
      <c r="D45" s="218">
        <f>E45/4</f>
        <v>4000</v>
      </c>
      <c r="E45" s="218">
        <v>16000</v>
      </c>
      <c r="F45" s="4">
        <f t="shared" si="0"/>
        <v>57.386040000000001</v>
      </c>
      <c r="G45" s="15">
        <f>+E45-F45</f>
        <v>15942.613960000001</v>
      </c>
      <c r="H45" s="4">
        <f t="shared" si="28"/>
        <v>289.59526962712368</v>
      </c>
      <c r="I45" s="15">
        <f>+H45+F45</f>
        <v>346.98130962712366</v>
      </c>
      <c r="J45" s="17">
        <f>+I45/E45</f>
        <v>2.1686331851695228E-2</v>
      </c>
      <c r="K45" s="15">
        <f t="shared" si="13"/>
        <v>15653.018690372877</v>
      </c>
      <c r="L45" s="4">
        <f t="shared" si="3"/>
        <v>259.63293404546062</v>
      </c>
      <c r="M45" s="15">
        <f>+K45-L45</f>
        <v>15393.385756327416</v>
      </c>
      <c r="N45" s="4">
        <f t="shared" si="4"/>
        <v>83.991538974778564</v>
      </c>
      <c r="O45" s="15">
        <f>+F45+H45+L45+N45</f>
        <v>690.60578264736284</v>
      </c>
      <c r="P45" s="221">
        <f>O45/E45</f>
        <v>4.3162861415460177E-2</v>
      </c>
      <c r="Q45" s="221">
        <f t="shared" ref="Q45:Q52" si="29">P45+(V45/$V$47)*$P$69</f>
        <v>4.8367209241547131E-2</v>
      </c>
      <c r="R45" s="141">
        <f t="shared" si="15"/>
        <v>4.8590504091456072E-2</v>
      </c>
      <c r="S45" s="141">
        <f t="shared" si="16"/>
        <v>2.7132312255565585E-2</v>
      </c>
      <c r="T45" s="221">
        <f>J45</f>
        <v>2.1686331851695228E-2</v>
      </c>
      <c r="U45" s="221">
        <f t="shared" si="26"/>
        <v>2.7118940547347401E-2</v>
      </c>
      <c r="V45" s="73">
        <v>21</v>
      </c>
      <c r="W45" s="73">
        <v>21</v>
      </c>
      <c r="X45" s="209"/>
      <c r="Y45" s="209"/>
      <c r="AA45" s="376">
        <f>U45*E45</f>
        <v>433.90304875755839</v>
      </c>
      <c r="AB45" s="376">
        <f>Q45*E45</f>
        <v>773.87534786475408</v>
      </c>
    </row>
    <row r="46" spans="1:28" x14ac:dyDescent="0.2">
      <c r="A46" s="225">
        <f>B46/4</f>
        <v>25019.855595667868</v>
      </c>
      <c r="B46" s="225">
        <f t="shared" si="10"/>
        <v>100079.42238267147</v>
      </c>
      <c r="C46" s="73">
        <f t="shared" si="20"/>
        <v>36</v>
      </c>
      <c r="D46" s="218">
        <f t="shared" si="12"/>
        <v>4175</v>
      </c>
      <c r="E46" s="218">
        <v>16700</v>
      </c>
      <c r="F46" s="4">
        <f t="shared" si="0"/>
        <v>60.8330451</v>
      </c>
      <c r="G46" s="15">
        <f t="shared" si="11"/>
        <v>16639.1669549</v>
      </c>
      <c r="H46" s="4">
        <f t="shared" si="28"/>
        <v>315.45365398151984</v>
      </c>
      <c r="I46" s="15">
        <f t="shared" si="2"/>
        <v>376.28669908151983</v>
      </c>
      <c r="J46" s="17">
        <f t="shared" si="8"/>
        <v>2.2532137669552085E-2</v>
      </c>
      <c r="K46" s="15">
        <f t="shared" si="13"/>
        <v>16323.71330091848</v>
      </c>
      <c r="L46" s="4">
        <f t="shared" si="3"/>
        <v>267.43090428874399</v>
      </c>
      <c r="M46" s="15">
        <f t="shared" si="27"/>
        <v>16056.282396629736</v>
      </c>
      <c r="N46" s="4">
        <f t="shared" si="4"/>
        <v>91.381278291738127</v>
      </c>
      <c r="O46" s="15">
        <f t="shared" si="5"/>
        <v>735.09888166200187</v>
      </c>
      <c r="P46" s="221">
        <f t="shared" si="6"/>
        <v>4.4017897105509095E-2</v>
      </c>
      <c r="Q46" s="221">
        <f t="shared" si="29"/>
        <v>4.9470071018552574E-2</v>
      </c>
      <c r="R46" s="141">
        <f t="shared" si="15"/>
        <v>4.9924691224050084E-2</v>
      </c>
      <c r="S46" s="141">
        <f t="shared" si="16"/>
        <v>2.8436805360398339E-2</v>
      </c>
      <c r="T46" s="221">
        <f t="shared" si="21"/>
        <v>2.2532137669552085E-2</v>
      </c>
      <c r="U46" s="221">
        <f>T46+(W46/$W$47)*$Q$69</f>
        <v>2.8223442017378173E-2</v>
      </c>
      <c r="V46" s="73">
        <v>22</v>
      </c>
      <c r="W46" s="73">
        <v>22</v>
      </c>
      <c r="X46" s="209"/>
      <c r="Y46" s="209"/>
      <c r="AA46" s="376">
        <f t="shared" ref="AA46:AA52" si="30">U46*E46</f>
        <v>471.33148169021547</v>
      </c>
      <c r="AB46" s="376">
        <f t="shared" ref="AB46:AB52" si="31">Q46*E46</f>
        <v>826.15018600982796</v>
      </c>
    </row>
    <row r="47" spans="1:28" x14ac:dyDescent="0.2">
      <c r="A47" s="225">
        <f t="shared" ref="A47:A52" si="32">B47/4</f>
        <v>25619.133574007221</v>
      </c>
      <c r="B47" s="225">
        <f t="shared" si="10"/>
        <v>102476.53429602888</v>
      </c>
      <c r="C47" s="73">
        <f t="shared" si="20"/>
        <v>37</v>
      </c>
      <c r="D47" s="218">
        <f t="shared" si="12"/>
        <v>4275</v>
      </c>
      <c r="E47" s="218">
        <f t="shared" ref="E47:E52" si="33">E46+400</f>
        <v>17100</v>
      </c>
      <c r="F47" s="4">
        <f t="shared" si="0"/>
        <v>62.8690219</v>
      </c>
      <c r="G47" s="15">
        <f t="shared" si="11"/>
        <v>17037.130978100002</v>
      </c>
      <c r="H47" s="4">
        <f t="shared" si="28"/>
        <v>330.72370750252696</v>
      </c>
      <c r="I47" s="15">
        <f t="shared" si="2"/>
        <v>393.59272940252697</v>
      </c>
      <c r="J47" s="17">
        <f t="shared" si="8"/>
        <v>2.3017118678510348E-2</v>
      </c>
      <c r="K47" s="15">
        <f t="shared" si="13"/>
        <v>16706.407270597476</v>
      </c>
      <c r="L47" s="4">
        <f>$K$71+$L$71*K47*K47</f>
        <v>272.02695125474997</v>
      </c>
      <c r="M47" s="15">
        <f t="shared" si="27"/>
        <v>16434.380319342727</v>
      </c>
      <c r="N47" s="4">
        <f t="shared" si="4"/>
        <v>95.735696068184211</v>
      </c>
      <c r="O47" s="15">
        <f t="shared" si="5"/>
        <v>761.35537672546116</v>
      </c>
      <c r="P47" s="221">
        <f t="shared" si="6"/>
        <v>4.452370624125504E-2</v>
      </c>
      <c r="Q47" s="221">
        <f t="shared" si="29"/>
        <v>5.0223706241255037E-2</v>
      </c>
      <c r="R47" s="141">
        <f t="shared" si="15"/>
        <v>5.0706161631515603E-2</v>
      </c>
      <c r="S47" s="141">
        <f t="shared" ref="S47:S51" si="34">$S$73*A47/$A$56+$S$74+$S$75*$A$56/A47</f>
        <v>2.9184130565583635E-2</v>
      </c>
      <c r="T47" s="221">
        <f t="shared" si="21"/>
        <v>2.3017118678510348E-2</v>
      </c>
      <c r="U47" s="221">
        <f>T47+(W47/$W$47)*$Q$69</f>
        <v>2.8967118678510349E-2</v>
      </c>
      <c r="V47" s="73">
        <v>23</v>
      </c>
      <c r="W47" s="73">
        <v>23</v>
      </c>
      <c r="X47" s="209"/>
      <c r="Y47" s="209"/>
      <c r="AA47" s="376">
        <f t="shared" si="30"/>
        <v>495.33772940252697</v>
      </c>
      <c r="AB47" s="376">
        <f t="shared" si="31"/>
        <v>858.82537672546118</v>
      </c>
    </row>
    <row r="48" spans="1:28" s="418" customFormat="1" x14ac:dyDescent="0.2">
      <c r="A48" s="389">
        <f t="shared" si="32"/>
        <v>26218.41155234657</v>
      </c>
      <c r="B48" s="389">
        <f t="shared" si="10"/>
        <v>104873.64620938628</v>
      </c>
      <c r="C48" s="405">
        <f t="shared" si="20"/>
        <v>38</v>
      </c>
      <c r="D48" s="405">
        <f t="shared" si="12"/>
        <v>4375</v>
      </c>
      <c r="E48" s="405">
        <f t="shared" si="33"/>
        <v>17500</v>
      </c>
      <c r="F48" s="420">
        <f t="shared" si="0"/>
        <v>64.953187499999999</v>
      </c>
      <c r="G48" s="406">
        <f t="shared" si="11"/>
        <v>17435.046812500001</v>
      </c>
      <c r="H48" s="420">
        <f t="shared" si="28"/>
        <v>346.35274906064973</v>
      </c>
      <c r="I48" s="406">
        <f t="shared" si="2"/>
        <v>411.30593656064974</v>
      </c>
      <c r="J48" s="414">
        <f t="shared" si="8"/>
        <v>2.3503196374894272E-2</v>
      </c>
      <c r="K48" s="406">
        <f t="shared" si="13"/>
        <v>17088.69406343935</v>
      </c>
      <c r="L48" s="420">
        <f t="shared" si="3"/>
        <v>276.72443977557077</v>
      </c>
      <c r="M48" s="406">
        <f t="shared" si="27"/>
        <v>16811.969623663779</v>
      </c>
      <c r="N48" s="420">
        <f t="shared" si="4"/>
        <v>100.18539767836417</v>
      </c>
      <c r="O48" s="406">
        <f t="shared" si="5"/>
        <v>788.21577401458478</v>
      </c>
      <c r="P48" s="415">
        <f t="shared" si="6"/>
        <v>4.5040901372261986E-2</v>
      </c>
      <c r="Q48" s="415">
        <f t="shared" si="29"/>
        <v>5.0988727459218508E-2</v>
      </c>
      <c r="R48" s="416">
        <f t="shared" si="15"/>
        <v>5.1500317510744367E-2</v>
      </c>
      <c r="S48" s="416">
        <f t="shared" si="34"/>
        <v>2.9932719528966818E-2</v>
      </c>
      <c r="T48" s="415">
        <f t="shared" si="21"/>
        <v>2.3503196374894272E-2</v>
      </c>
      <c r="U48" s="415">
        <f>T48+(W48/$W$47)*$Q$69</f>
        <v>2.9711892027068185E-2</v>
      </c>
      <c r="V48" s="405">
        <v>24</v>
      </c>
      <c r="W48" s="405">
        <v>24</v>
      </c>
      <c r="X48" s="412"/>
      <c r="Y48" s="412"/>
      <c r="AA48" s="419">
        <f t="shared" si="30"/>
        <v>519.95811047369318</v>
      </c>
      <c r="AB48" s="419">
        <f t="shared" si="31"/>
        <v>892.30273053632391</v>
      </c>
    </row>
    <row r="49" spans="1:30" s="418" customFormat="1" x14ac:dyDescent="0.2">
      <c r="A49" s="389">
        <f t="shared" si="32"/>
        <v>26817.689530685922</v>
      </c>
      <c r="B49" s="389">
        <f t="shared" si="10"/>
        <v>107270.75812274369</v>
      </c>
      <c r="C49" s="405">
        <f t="shared" si="20"/>
        <v>39</v>
      </c>
      <c r="D49" s="405">
        <f t="shared" si="12"/>
        <v>4475</v>
      </c>
      <c r="E49" s="405">
        <f t="shared" si="33"/>
        <v>17900</v>
      </c>
      <c r="F49" s="420">
        <f t="shared" si="0"/>
        <v>67.08554190000001</v>
      </c>
      <c r="G49" s="406">
        <f t="shared" si="11"/>
        <v>17832.9144581</v>
      </c>
      <c r="H49" s="420">
        <f t="shared" si="28"/>
        <v>362.34064756847704</v>
      </c>
      <c r="I49" s="406">
        <f t="shared" si="2"/>
        <v>429.42618946847705</v>
      </c>
      <c r="J49" s="414">
        <f t="shared" si="8"/>
        <v>2.399028991444006E-2</v>
      </c>
      <c r="K49" s="406">
        <f t="shared" si="13"/>
        <v>17470.573810531521</v>
      </c>
      <c r="L49" s="420">
        <f t="shared" si="3"/>
        <v>281.52303193334274</v>
      </c>
      <c r="M49" s="406">
        <f t="shared" si="27"/>
        <v>17189.050778598179</v>
      </c>
      <c r="N49" s="420">
        <f t="shared" si="4"/>
        <v>104.72998039557409</v>
      </c>
      <c r="O49" s="406">
        <f t="shared" si="5"/>
        <v>815.67920179739394</v>
      </c>
      <c r="P49" s="415">
        <f t="shared" si="6"/>
        <v>4.5568670491474519E-2</v>
      </c>
      <c r="Q49" s="415">
        <f t="shared" si="29"/>
        <v>5.1764322665387566E-2</v>
      </c>
      <c r="R49" s="416">
        <f t="shared" si="15"/>
        <v>5.2306308439048321E-2</v>
      </c>
      <c r="S49" s="416">
        <f t="shared" si="34"/>
        <v>3.0682487529327927E-2</v>
      </c>
      <c r="T49" s="415">
        <f t="shared" si="21"/>
        <v>2.399028991444006E-2</v>
      </c>
      <c r="U49" s="415">
        <f>T49+(W49/$W$47)*$Q$69</f>
        <v>3.0457681218787884E-2</v>
      </c>
      <c r="V49" s="405">
        <v>25</v>
      </c>
      <c r="W49" s="405">
        <v>25</v>
      </c>
      <c r="X49" s="412"/>
      <c r="Y49" s="412"/>
      <c r="AA49" s="419">
        <f t="shared" si="30"/>
        <v>545.19249381630311</v>
      </c>
      <c r="AB49" s="419">
        <f t="shared" si="31"/>
        <v>926.58137571043744</v>
      </c>
    </row>
    <row r="50" spans="1:30" x14ac:dyDescent="0.2">
      <c r="A50" s="225">
        <f t="shared" si="32"/>
        <v>27416.967509025271</v>
      </c>
      <c r="B50" s="225">
        <f t="shared" si="10"/>
        <v>109667.87003610109</v>
      </c>
      <c r="C50" s="73">
        <f t="shared" si="20"/>
        <v>40</v>
      </c>
      <c r="D50" s="218">
        <f t="shared" si="12"/>
        <v>4575</v>
      </c>
      <c r="E50" s="218">
        <f t="shared" si="33"/>
        <v>18300</v>
      </c>
      <c r="F50" s="4">
        <f t="shared" si="0"/>
        <v>69.266085099999998</v>
      </c>
      <c r="G50" s="15">
        <f t="shared" si="11"/>
        <v>18230.7339149</v>
      </c>
      <c r="H50" s="4">
        <f t="shared" si="28"/>
        <v>378.68727195447275</v>
      </c>
      <c r="I50" s="15">
        <f t="shared" si="2"/>
        <v>447.95335705447275</v>
      </c>
      <c r="J50" s="17">
        <f t="shared" si="8"/>
        <v>2.4478325522102336E-2</v>
      </c>
      <c r="K50" s="15">
        <f t="shared" si="13"/>
        <v>17852.046642945526</v>
      </c>
      <c r="L50" s="4">
        <f t="shared" si="3"/>
        <v>286.42239031714644</v>
      </c>
      <c r="M50" s="15">
        <f t="shared" si="27"/>
        <v>17565.624252628379</v>
      </c>
      <c r="N50" s="4">
        <f t="shared" si="4"/>
        <v>109.36904253759919</v>
      </c>
      <c r="O50" s="15">
        <f t="shared" si="5"/>
        <v>843.7447899092183</v>
      </c>
      <c r="P50" s="221">
        <f t="shared" si="6"/>
        <v>4.6106272672634882E-2</v>
      </c>
      <c r="Q50" s="221">
        <f t="shared" si="29"/>
        <v>5.2549750933504447E-2</v>
      </c>
      <c r="R50" s="141">
        <f t="shared" si="15"/>
        <v>5.3123358347635673E-2</v>
      </c>
      <c r="S50" s="141">
        <f t="shared" si="34"/>
        <v>3.1433357252766761E-2</v>
      </c>
      <c r="T50" s="221">
        <f t="shared" si="21"/>
        <v>2.4478325522102336E-2</v>
      </c>
      <c r="U50" s="221">
        <f t="shared" ref="U50:U51" si="35">T50+(W50/$W$47)*$Q$69</f>
        <v>3.1204412478624075E-2</v>
      </c>
      <c r="V50" s="73">
        <v>26</v>
      </c>
      <c r="W50" s="73">
        <v>26</v>
      </c>
      <c r="X50" s="209"/>
      <c r="Y50" s="209"/>
      <c r="AA50" s="376">
        <f t="shared" si="30"/>
        <v>571.04074835882057</v>
      </c>
      <c r="AB50" s="376">
        <f t="shared" si="31"/>
        <v>961.66044208313133</v>
      </c>
    </row>
    <row r="51" spans="1:30" x14ac:dyDescent="0.2">
      <c r="A51" s="225">
        <f t="shared" si="32"/>
        <v>28016.24548736462</v>
      </c>
      <c r="B51" s="225">
        <f t="shared" si="10"/>
        <v>112064.98194945848</v>
      </c>
      <c r="C51" s="73">
        <f t="shared" si="20"/>
        <v>41</v>
      </c>
      <c r="D51" s="218">
        <f t="shared" si="12"/>
        <v>4675</v>
      </c>
      <c r="E51" s="218">
        <f t="shared" si="33"/>
        <v>18700</v>
      </c>
      <c r="F51" s="4">
        <f t="shared" si="0"/>
        <v>71.494817100000006</v>
      </c>
      <c r="G51" s="15">
        <f t="shared" si="11"/>
        <v>18628.5051829</v>
      </c>
      <c r="H51" s="4">
        <f t="shared" si="28"/>
        <v>395.3924911629756</v>
      </c>
      <c r="I51" s="15">
        <f t="shared" si="2"/>
        <v>466.88730826297558</v>
      </c>
      <c r="J51" s="17">
        <f t="shared" si="8"/>
        <v>2.4967235735988001E-2</v>
      </c>
      <c r="K51" s="15">
        <f t="shared" si="13"/>
        <v>18233.112691737024</v>
      </c>
      <c r="L51" s="4">
        <f t="shared" si="3"/>
        <v>291.42217802259745</v>
      </c>
      <c r="M51" s="15">
        <f t="shared" si="27"/>
        <v>17941.690513714428</v>
      </c>
      <c r="N51" s="4">
        <f t="shared" si="4"/>
        <v>114.10218346433361</v>
      </c>
      <c r="O51" s="15">
        <f t="shared" si="5"/>
        <v>872.41166974990665</v>
      </c>
      <c r="P51" s="221">
        <f t="shared" si="6"/>
        <v>4.6653030467909445E-2</v>
      </c>
      <c r="Q51" s="221">
        <f t="shared" si="29"/>
        <v>5.3344334815735535E-2</v>
      </c>
      <c r="R51" s="141">
        <f t="shared" si="15"/>
        <v>5.3950757569322438E-2</v>
      </c>
      <c r="S51" s="141">
        <f t="shared" si="34"/>
        <v>3.2185258000476197E-2</v>
      </c>
      <c r="T51" s="221">
        <f t="shared" si="21"/>
        <v>2.4967235735988001E-2</v>
      </c>
      <c r="U51" s="221">
        <f t="shared" si="35"/>
        <v>3.1952018344683655E-2</v>
      </c>
      <c r="V51" s="73">
        <v>27</v>
      </c>
      <c r="W51" s="73">
        <v>27</v>
      </c>
      <c r="X51" s="209"/>
      <c r="Y51" s="209"/>
      <c r="AA51" s="376">
        <f t="shared" si="30"/>
        <v>597.50274304558434</v>
      </c>
      <c r="AB51" s="376">
        <f t="shared" si="31"/>
        <v>997.53906105425449</v>
      </c>
    </row>
    <row r="52" spans="1:30" x14ac:dyDescent="0.2">
      <c r="A52" s="225">
        <f t="shared" si="32"/>
        <v>28615.523465703973</v>
      </c>
      <c r="B52" s="225">
        <f t="shared" si="10"/>
        <v>114462.09386281589</v>
      </c>
      <c r="C52" s="73">
        <f t="shared" si="20"/>
        <v>42</v>
      </c>
      <c r="D52" s="218">
        <f t="shared" si="12"/>
        <v>4775</v>
      </c>
      <c r="E52" s="218">
        <f t="shared" si="33"/>
        <v>19100</v>
      </c>
      <c r="F52" s="4">
        <f t="shared" si="0"/>
        <v>73.771737900000005</v>
      </c>
      <c r="G52" s="15">
        <f t="shared" si="11"/>
        <v>19026.228262100001</v>
      </c>
      <c r="H52" s="4">
        <f>$H$71*G52*G52</f>
        <v>412.45617415419969</v>
      </c>
      <c r="I52" s="15">
        <f t="shared" si="2"/>
        <v>486.22791205419969</v>
      </c>
      <c r="J52" s="17">
        <f t="shared" si="8"/>
        <v>2.5456958746293178E-2</v>
      </c>
      <c r="K52" s="15">
        <f t="shared" ref="K52" si="36">+G52-H52</f>
        <v>18613.772087945803</v>
      </c>
      <c r="L52" s="4">
        <f>$K$71+$L$71*K52*K52</f>
        <v>296.52205865143628</v>
      </c>
      <c r="M52" s="15">
        <f t="shared" si="27"/>
        <v>18317.250029294366</v>
      </c>
      <c r="N52" s="4">
        <f>$N$71*M52*M52</f>
        <v>118.92900357540472</v>
      </c>
      <c r="O52" s="15">
        <f t="shared" si="5"/>
        <v>901.67897428104072</v>
      </c>
      <c r="P52" s="221">
        <f t="shared" si="6"/>
        <v>4.7208323260787471E-2</v>
      </c>
      <c r="Q52" s="221">
        <f t="shared" si="29"/>
        <v>5.4147453695570079E-2</v>
      </c>
      <c r="R52" s="141">
        <f t="shared" si="15"/>
        <v>5.4787855885484592E-2</v>
      </c>
      <c r="S52" s="141">
        <f>$S$73*A52/$A$56+$S$74+$S$75*$A$56/A52</f>
        <v>3.2938124996062274E-2</v>
      </c>
      <c r="T52" s="221">
        <f t="shared" si="21"/>
        <v>2.5456958746293178E-2</v>
      </c>
      <c r="U52" s="221">
        <f>T52+(W52/$W$47)*$Q$69</f>
        <v>3.2700437007162741E-2</v>
      </c>
      <c r="V52" s="73">
        <v>28</v>
      </c>
      <c r="W52" s="73">
        <v>28</v>
      </c>
      <c r="X52" s="209"/>
      <c r="Y52" s="209"/>
      <c r="AA52" s="376">
        <f t="shared" si="30"/>
        <v>624.57834683680835</v>
      </c>
      <c r="AB52" s="376">
        <f t="shared" si="31"/>
        <v>1034.2163655853885</v>
      </c>
    </row>
    <row r="53" spans="1:30" x14ac:dyDescent="0.2">
      <c r="A53" s="80"/>
      <c r="B53" s="80"/>
      <c r="C53" s="73"/>
      <c r="D53" s="2"/>
      <c r="F53" s="4"/>
      <c r="G53" s="15"/>
      <c r="H53" s="4"/>
      <c r="I53" s="4"/>
      <c r="J53" s="20"/>
      <c r="K53" s="4"/>
      <c r="L53" s="4"/>
      <c r="M53" s="4"/>
      <c r="N53" s="4"/>
      <c r="O53" s="15"/>
      <c r="P53" s="104"/>
      <c r="Q53" s="104"/>
      <c r="R53" s="141"/>
      <c r="S53" s="141"/>
      <c r="T53" s="20"/>
      <c r="U53" s="104"/>
      <c r="V53" s="73"/>
      <c r="W53" s="73"/>
      <c r="AA53" s="4"/>
      <c r="AB53" s="4"/>
    </row>
    <row r="54" spans="1:30" ht="13.5" thickBot="1" x14ac:dyDescent="0.25">
      <c r="A54" s="379"/>
      <c r="B54" s="379"/>
      <c r="C54" s="6"/>
      <c r="D54" s="6"/>
      <c r="E54" s="379"/>
      <c r="F54" s="15"/>
      <c r="G54" s="379"/>
      <c r="H54" s="5"/>
      <c r="I54" s="5"/>
      <c r="J54" s="5"/>
      <c r="K54" s="5"/>
      <c r="L54" s="5"/>
      <c r="M54" s="5"/>
      <c r="N54" s="5"/>
      <c r="O54" s="5"/>
      <c r="Q54" s="209"/>
      <c r="V54" s="2"/>
      <c r="W54" s="2"/>
    </row>
    <row r="55" spans="1:30" ht="13.5" thickTop="1" x14ac:dyDescent="0.2">
      <c r="A55" s="284" t="s">
        <v>184</v>
      </c>
      <c r="B55" s="191" t="s">
        <v>48</v>
      </c>
      <c r="C55" s="271"/>
      <c r="D55" s="191" t="s">
        <v>184</v>
      </c>
      <c r="E55" s="272" t="s">
        <v>47</v>
      </c>
      <c r="F55" s="4"/>
      <c r="G55" s="238"/>
      <c r="H55" s="5"/>
      <c r="I55" s="5"/>
      <c r="J55" s="5"/>
      <c r="K55" s="5"/>
      <c r="L55" s="5"/>
      <c r="M55" s="5"/>
      <c r="N55" s="5"/>
      <c r="O55" s="5"/>
      <c r="P55" s="5"/>
      <c r="Q55" s="241"/>
      <c r="R55" s="226" t="s">
        <v>167</v>
      </c>
      <c r="S55" s="227" t="s">
        <v>165</v>
      </c>
      <c r="T55" s="228" t="s">
        <v>47</v>
      </c>
      <c r="U55" s="229"/>
    </row>
    <row r="56" spans="1:30" x14ac:dyDescent="0.2">
      <c r="A56" s="317">
        <f>'1) General Information'!F70</f>
        <v>12450</v>
      </c>
      <c r="B56" s="269">
        <f>A56*4</f>
        <v>49800</v>
      </c>
      <c r="C56" s="197" t="s">
        <v>185</v>
      </c>
      <c r="D56" s="197">
        <f>E56/4</f>
        <v>2077.5</v>
      </c>
      <c r="E56" s="319">
        <f>'1) General Information'!G68</f>
        <v>8310</v>
      </c>
      <c r="F56" s="255">
        <f>$E$71+$F$71*E56*E56</f>
        <v>29.234158099000002</v>
      </c>
      <c r="G56" s="255">
        <f>+E56-F56</f>
        <v>8280.7658419010004</v>
      </c>
      <c r="H56" s="255">
        <f>$H$71*G56*G56</f>
        <v>78.129206177783274</v>
      </c>
      <c r="I56" s="255">
        <f>+H56+F56</f>
        <v>107.36336427678327</v>
      </c>
      <c r="J56" s="298">
        <f>+I56/E56</f>
        <v>1.2919779094679094E-2</v>
      </c>
      <c r="K56" s="255">
        <f>+G56-H56</f>
        <v>8202.6366357232164</v>
      </c>
      <c r="L56" s="255">
        <f>$K$71+$L$71*K56*K56</f>
        <v>195.0091216087271</v>
      </c>
      <c r="M56" s="255">
        <f>+K56-L56</f>
        <v>8007.6275141144897</v>
      </c>
      <c r="N56" s="255">
        <f>$N$71*M56*M56</f>
        <v>22.728719000566617</v>
      </c>
      <c r="O56" s="255">
        <f>+F56+H56+L56+N56</f>
        <v>325.10120488607703</v>
      </c>
      <c r="P56" s="299">
        <f>O56/E56</f>
        <v>3.9121685305183757E-2</v>
      </c>
      <c r="R56" s="230">
        <f>$B$143*A56/$A$56+$B$144+$B$145*$A$56/A56</f>
        <v>3.9690000000000003E-2</v>
      </c>
      <c r="S56" s="231">
        <f>$S$73*A56/$A$56+$S$74+$S$75*$A$56/A56</f>
        <v>1.3375E-2</v>
      </c>
      <c r="T56" s="232" t="s">
        <v>186</v>
      </c>
      <c r="U56" s="233"/>
    </row>
    <row r="57" spans="1:30" ht="13.5" thickBot="1" x14ac:dyDescent="0.25">
      <c r="A57" s="270">
        <f>B57/4</f>
        <v>21394.75</v>
      </c>
      <c r="B57" s="318">
        <f>'1) General Information'!G69</f>
        <v>85579</v>
      </c>
      <c r="C57" s="196" t="s">
        <v>187</v>
      </c>
      <c r="D57" s="196">
        <f>E57/4</f>
        <v>4438.5</v>
      </c>
      <c r="E57" s="335">
        <v>17754</v>
      </c>
      <c r="F57" s="255">
        <f>$E$71+$F$71*E57*E57</f>
        <v>66.301648064440002</v>
      </c>
      <c r="G57" s="255">
        <f>'1) General Information'!G67</f>
        <v>17688</v>
      </c>
      <c r="H57" s="255">
        <f>$H71*G57*G57</f>
        <v>356.47564430015996</v>
      </c>
      <c r="I57" s="255">
        <f>+H57+F57</f>
        <v>422.77729236459993</v>
      </c>
      <c r="J57" s="298">
        <f>+I57/E57</f>
        <v>2.3813072680218539E-2</v>
      </c>
      <c r="K57" s="255">
        <f>+G57-H57</f>
        <v>17331.524355699839</v>
      </c>
      <c r="L57" s="255">
        <f>K71+L71*K57*K57</f>
        <v>279.76349900683351</v>
      </c>
      <c r="M57" s="255">
        <f>+K57-L57</f>
        <v>17051.760856693007</v>
      </c>
      <c r="N57" s="255">
        <f>$N$71*M57*M57</f>
        <v>103.0636928753265</v>
      </c>
      <c r="O57" s="255">
        <f>+F57+H57+L57+N57</f>
        <v>805.60448424675997</v>
      </c>
      <c r="P57" s="299">
        <f>O57/E57</f>
        <v>4.5375942562057001E-2</v>
      </c>
      <c r="R57" s="230">
        <f>$B$143*A57/$A$56+$B$144+$B$145*$A$56/A57</f>
        <v>4.5528920053248434E-2</v>
      </c>
      <c r="S57" s="231">
        <f>$S$73*A57/$A$56+$S$74+$S$75*$A$56/A57</f>
        <v>2.3949162771301612E-2</v>
      </c>
      <c r="T57" s="232" t="s">
        <v>188</v>
      </c>
      <c r="U57" s="233"/>
    </row>
    <row r="58" spans="1:30" ht="13.5" thickBot="1" x14ac:dyDescent="0.25">
      <c r="A58" s="130"/>
      <c r="B58" s="136">
        <f>B57/B56</f>
        <v>1.7184538152610442</v>
      </c>
      <c r="C58" s="6"/>
      <c r="E58" s="136">
        <f>E57/E56</f>
        <v>2.136462093862816</v>
      </c>
      <c r="F58" s="4"/>
      <c r="G58" s="239"/>
      <c r="H58" s="4"/>
      <c r="I58" s="4"/>
      <c r="J58" s="138"/>
      <c r="K58" s="4"/>
      <c r="L58" s="4"/>
      <c r="M58" s="15"/>
      <c r="N58" s="4"/>
      <c r="O58" s="15"/>
      <c r="P58" s="106"/>
      <c r="R58" s="234"/>
      <c r="S58" s="235"/>
      <c r="T58" s="236"/>
      <c r="U58" s="237"/>
    </row>
    <row r="59" spans="1:30" ht="13.5" thickTop="1" x14ac:dyDescent="0.2">
      <c r="A59" s="130"/>
      <c r="B59" s="136"/>
      <c r="C59" s="6"/>
      <c r="E59" s="136"/>
      <c r="F59" s="347">
        <f>F57+G57</f>
        <v>17754.30164806444</v>
      </c>
      <c r="G59" s="239"/>
      <c r="H59" s="4"/>
      <c r="I59" s="4"/>
      <c r="J59" s="138"/>
      <c r="K59" s="4"/>
      <c r="L59" s="4"/>
      <c r="M59" s="15"/>
      <c r="N59" s="4"/>
      <c r="O59" s="15"/>
      <c r="P59" s="106"/>
      <c r="R59" s="141"/>
      <c r="S59" s="141"/>
      <c r="T59" s="240"/>
    </row>
    <row r="60" spans="1:30" x14ac:dyDescent="0.2">
      <c r="A60" s="130"/>
      <c r="B60" s="136"/>
      <c r="C60" s="6"/>
      <c r="E60" s="136"/>
      <c r="F60" s="4"/>
      <c r="G60" s="239"/>
      <c r="H60" s="4"/>
      <c r="I60" s="4"/>
      <c r="J60" s="138"/>
      <c r="K60" s="4"/>
      <c r="L60" s="4"/>
      <c r="M60" s="15"/>
      <c r="N60" s="4"/>
      <c r="O60" s="15"/>
      <c r="P60" s="106"/>
      <c r="R60" s="141"/>
      <c r="S60" s="141"/>
      <c r="T60" s="240"/>
    </row>
    <row r="61" spans="1:30" x14ac:dyDescent="0.2">
      <c r="A61" s="5" t="s">
        <v>189</v>
      </c>
      <c r="B61" s="421">
        <f>G56</f>
        <v>8280.7658419010004</v>
      </c>
      <c r="C61" s="5" t="s">
        <v>190</v>
      </c>
      <c r="D61" s="5"/>
      <c r="E61" s="5"/>
      <c r="F61" s="5"/>
      <c r="G61" s="5"/>
      <c r="H61" s="5"/>
      <c r="I61" s="5"/>
      <c r="J61" s="15">
        <f>F56</f>
        <v>29.234158099000002</v>
      </c>
      <c r="K61" s="5" t="s">
        <v>191</v>
      </c>
      <c r="L61" s="5"/>
      <c r="M61" s="15"/>
      <c r="N61" s="4"/>
      <c r="O61" s="15"/>
      <c r="P61" s="106"/>
      <c r="R61" s="141"/>
      <c r="S61" s="141"/>
      <c r="T61" s="240"/>
    </row>
    <row r="62" spans="1:30" x14ac:dyDescent="0.2">
      <c r="A62" s="5" t="s">
        <v>192</v>
      </c>
      <c r="B62" s="422">
        <f>G57</f>
        <v>17688</v>
      </c>
      <c r="C62" s="429" t="s">
        <v>193</v>
      </c>
      <c r="D62" s="429"/>
      <c r="E62" s="429"/>
      <c r="F62" s="429"/>
      <c r="G62" s="429"/>
      <c r="H62" s="429"/>
      <c r="I62" s="429"/>
      <c r="J62" s="429"/>
      <c r="K62" s="429"/>
      <c r="L62" s="429"/>
      <c r="M62" s="5"/>
      <c r="N62" s="5"/>
      <c r="O62" s="5"/>
      <c r="P62" s="442" t="s">
        <v>194</v>
      </c>
      <c r="Q62" s="443"/>
      <c r="R62" s="440" t="s">
        <v>195</v>
      </c>
      <c r="S62" s="441"/>
      <c r="T62" s="104"/>
    </row>
    <row r="63" spans="1:30" x14ac:dyDescent="0.2">
      <c r="A63" s="429" t="s">
        <v>196</v>
      </c>
      <c r="B63" s="448"/>
      <c r="C63" s="448"/>
      <c r="D63" s="448"/>
      <c r="E63" s="448"/>
      <c r="F63" s="448"/>
      <c r="G63" s="448"/>
      <c r="H63" s="448"/>
      <c r="I63" s="448"/>
      <c r="J63" s="448"/>
      <c r="K63" s="448"/>
      <c r="L63" s="448"/>
      <c r="M63" s="448"/>
      <c r="N63" s="4"/>
      <c r="O63" s="15"/>
      <c r="P63" s="355"/>
      <c r="Q63" s="356"/>
      <c r="R63" s="355"/>
      <c r="S63" s="356"/>
    </row>
    <row r="64" spans="1:30" x14ac:dyDescent="0.2">
      <c r="A64" s="5" t="s">
        <v>197</v>
      </c>
      <c r="B64" s="73"/>
      <c r="C64" s="73"/>
      <c r="D64" s="5"/>
      <c r="E64" s="73"/>
      <c r="F64" s="336"/>
      <c r="G64" s="73"/>
      <c r="H64" s="73"/>
      <c r="I64" s="73"/>
      <c r="J64" s="73"/>
      <c r="K64" s="73"/>
      <c r="L64" s="73"/>
      <c r="M64" s="73"/>
      <c r="N64" s="2"/>
      <c r="O64" s="2"/>
      <c r="P64" s="357" t="s">
        <v>198</v>
      </c>
      <c r="Q64" s="385">
        <v>4.54</v>
      </c>
      <c r="R64" s="357" t="s">
        <v>198</v>
      </c>
      <c r="S64" s="385">
        <v>2.38</v>
      </c>
      <c r="AD64" s="2"/>
    </row>
    <row r="65" spans="1:30" x14ac:dyDescent="0.2">
      <c r="A65" s="160"/>
      <c r="E65" s="2"/>
      <c r="F65" s="27"/>
      <c r="G65" s="2"/>
      <c r="H65" s="2"/>
      <c r="I65" s="2"/>
      <c r="J65" s="2"/>
      <c r="K65" s="2"/>
      <c r="L65" s="2"/>
      <c r="M65" s="2"/>
      <c r="N65" s="2"/>
      <c r="O65" s="2"/>
      <c r="P65" s="358" t="s">
        <v>199</v>
      </c>
      <c r="Q65" s="386">
        <v>4.54</v>
      </c>
      <c r="R65" s="358" t="s">
        <v>199</v>
      </c>
      <c r="S65" s="386">
        <v>2.38</v>
      </c>
      <c r="AD65" s="2"/>
    </row>
    <row r="66" spans="1:30" x14ac:dyDescent="0.2">
      <c r="A66" s="160"/>
      <c r="E66" s="2"/>
      <c r="F66" s="27"/>
      <c r="G66" s="2"/>
      <c r="H66" s="2"/>
      <c r="I66" s="2"/>
      <c r="J66" s="2"/>
      <c r="K66" s="2"/>
      <c r="L66" s="2"/>
      <c r="M66" s="2"/>
      <c r="N66" s="2"/>
      <c r="O66" s="2"/>
      <c r="R66"/>
      <c r="S66"/>
      <c r="AD66" s="2"/>
    </row>
    <row r="67" spans="1:30" ht="15.75" x14ac:dyDescent="0.25">
      <c r="A67" s="160"/>
      <c r="E67" s="2"/>
      <c r="F67" s="27"/>
      <c r="G67" s="2"/>
      <c r="H67" s="2"/>
      <c r="I67" s="2"/>
      <c r="J67" s="2"/>
      <c r="K67" s="2"/>
      <c r="L67" s="2"/>
      <c r="M67" s="2"/>
      <c r="N67" s="2"/>
      <c r="O67" s="2"/>
      <c r="P67" s="341" t="s">
        <v>200</v>
      </c>
      <c r="Q67" s="342"/>
      <c r="S67" s="332">
        <f>'3) Loss Equations'!D19</f>
        <v>2024</v>
      </c>
      <c r="AD67" s="2"/>
    </row>
    <row r="68" spans="1:30" x14ac:dyDescent="0.2">
      <c r="A68" s="160"/>
      <c r="E68" s="2"/>
      <c r="F68" s="27"/>
      <c r="G68" s="2"/>
      <c r="H68" s="2"/>
      <c r="I68" s="2"/>
      <c r="J68" s="2"/>
      <c r="K68" s="2"/>
      <c r="L68" s="2"/>
      <c r="M68" s="2"/>
      <c r="N68" s="2"/>
      <c r="O68" s="2"/>
      <c r="P68" s="343" t="s">
        <v>167</v>
      </c>
      <c r="Q68" s="344" t="s">
        <v>165</v>
      </c>
      <c r="S68" s="6" t="s">
        <v>201</v>
      </c>
      <c r="AD68" s="2"/>
    </row>
    <row r="69" spans="1:30" x14ac:dyDescent="0.2">
      <c r="B69"/>
      <c r="E69" s="88" t="s">
        <v>202</v>
      </c>
      <c r="F69" s="189"/>
      <c r="G69" s="88" t="s">
        <v>203</v>
      </c>
      <c r="H69" s="6"/>
      <c r="I69" s="6"/>
      <c r="J69" s="6"/>
      <c r="K69" s="88" t="s">
        <v>204</v>
      </c>
      <c r="L69" s="88"/>
      <c r="M69" s="88" t="s">
        <v>205</v>
      </c>
      <c r="N69" s="6"/>
      <c r="O69" s="2"/>
      <c r="P69" s="339">
        <v>5.7000000000000002E-3</v>
      </c>
      <c r="Q69" s="340">
        <v>5.9500000000000004E-3</v>
      </c>
      <c r="S69" s="6" t="s">
        <v>206</v>
      </c>
      <c r="AD69" s="2"/>
    </row>
    <row r="70" spans="1:30" ht="13.5" thickBot="1" x14ac:dyDescent="0.25">
      <c r="E70" s="46" t="s">
        <v>124</v>
      </c>
      <c r="F70" s="101" t="s">
        <v>125</v>
      </c>
      <c r="G70" s="46" t="s">
        <v>124</v>
      </c>
      <c r="H70" s="101" t="s">
        <v>125</v>
      </c>
      <c r="I70" s="28"/>
      <c r="J70" s="29"/>
      <c r="K70" s="33" t="s">
        <v>124</v>
      </c>
      <c r="L70" s="34" t="s">
        <v>125</v>
      </c>
      <c r="M70" s="33" t="s">
        <v>124</v>
      </c>
      <c r="N70" s="34" t="s">
        <v>125</v>
      </c>
      <c r="R70" s="444" t="s">
        <v>207</v>
      </c>
      <c r="S70" s="444"/>
      <c r="T70" s="444"/>
      <c r="AD70" s="2"/>
    </row>
    <row r="71" spans="1:30" x14ac:dyDescent="0.2">
      <c r="C71" s="450" t="s">
        <v>208</v>
      </c>
      <c r="D71" s="450"/>
      <c r="E71" s="387">
        <v>18.835000000000001</v>
      </c>
      <c r="F71" s="388">
        <v>1.5059E-7</v>
      </c>
      <c r="G71" s="389">
        <v>0</v>
      </c>
      <c r="H71" s="390">
        <v>1.13939E-6</v>
      </c>
      <c r="I71" s="391"/>
      <c r="J71" s="391"/>
      <c r="K71" s="392">
        <v>170.54499999999999</v>
      </c>
      <c r="L71" s="393">
        <v>3.6359900000000003E-7</v>
      </c>
      <c r="M71" s="394">
        <v>0</v>
      </c>
      <c r="N71" s="395">
        <v>3.5446000000000001E-7</v>
      </c>
      <c r="O71" s="451" t="s">
        <v>209</v>
      </c>
      <c r="P71" s="450"/>
      <c r="R71" s="383"/>
      <c r="S71" s="257"/>
      <c r="T71" s="258"/>
      <c r="AD71" s="2"/>
    </row>
    <row r="72" spans="1:30" x14ac:dyDescent="0.2">
      <c r="C72" s="432" t="s">
        <v>210</v>
      </c>
      <c r="D72" s="432"/>
      <c r="E72" s="381">
        <v>18.690999999999999</v>
      </c>
      <c r="F72" s="382">
        <v>1.78762E-7</v>
      </c>
      <c r="G72" s="282">
        <v>0</v>
      </c>
      <c r="H72" s="365">
        <v>1.13939E-6</v>
      </c>
      <c r="I72" s="2"/>
      <c r="J72" s="2"/>
      <c r="K72" s="109">
        <v>166.81200000000001</v>
      </c>
      <c r="L72" s="380">
        <v>3.7274199999999999E-7</v>
      </c>
      <c r="M72" s="278">
        <v>0</v>
      </c>
      <c r="N72" s="124">
        <v>3.5446000000000001E-7</v>
      </c>
      <c r="O72" s="447" t="s">
        <v>211</v>
      </c>
      <c r="P72" s="432"/>
      <c r="R72" s="384"/>
      <c r="S72" s="197"/>
      <c r="T72" s="266"/>
      <c r="AD72" s="2"/>
    </row>
    <row r="73" spans="1:30" x14ac:dyDescent="0.2">
      <c r="C73" s="432" t="s">
        <v>212</v>
      </c>
      <c r="D73" s="432"/>
      <c r="E73" s="381">
        <v>18.826000000000001</v>
      </c>
      <c r="F73" s="382">
        <v>1.8189900000000001E-7</v>
      </c>
      <c r="G73" s="282">
        <v>0</v>
      </c>
      <c r="H73" s="365">
        <v>1.13939E-6</v>
      </c>
      <c r="I73" s="73"/>
      <c r="J73" s="73"/>
      <c r="K73" s="109">
        <v>164.11799999999999</v>
      </c>
      <c r="L73" s="380">
        <v>3.8579000000000002E-7</v>
      </c>
      <c r="M73" s="278">
        <v>0</v>
      </c>
      <c r="N73" s="124">
        <v>3.5446000000000001E-7</v>
      </c>
      <c r="O73" s="447" t="s">
        <v>213</v>
      </c>
      <c r="P73" s="432"/>
      <c r="R73" s="197" t="s">
        <v>214</v>
      </c>
      <c r="S73" s="260">
        <f>B120</f>
        <v>1.61E-2</v>
      </c>
      <c r="T73" s="261" t="s">
        <v>215</v>
      </c>
      <c r="AD73" s="2"/>
    </row>
    <row r="74" spans="1:30" x14ac:dyDescent="0.2">
      <c r="C74" s="432" t="s">
        <v>216</v>
      </c>
      <c r="D74" s="432"/>
      <c r="E74" s="364">
        <v>18.728000000000002</v>
      </c>
      <c r="F74" s="382">
        <v>1.8617699999999999E-7</v>
      </c>
      <c r="G74" s="282">
        <v>0</v>
      </c>
      <c r="H74" s="365">
        <v>1.13939E-6</v>
      </c>
      <c r="I74" s="351"/>
      <c r="J74" s="352"/>
      <c r="K74" s="109">
        <v>162.10499999999999</v>
      </c>
      <c r="L74" s="124">
        <v>3.8581399999999999E-7</v>
      </c>
      <c r="M74" s="278">
        <v>0</v>
      </c>
      <c r="N74" s="124">
        <v>3.5446000000000001E-7</v>
      </c>
      <c r="O74" s="447" t="s">
        <v>217</v>
      </c>
      <c r="P74" s="432"/>
      <c r="R74" s="259" t="s">
        <v>218</v>
      </c>
      <c r="S74" s="260">
        <f>B121</f>
        <v>-5.1000000000000004E-3</v>
      </c>
      <c r="T74" s="261" t="s">
        <v>219</v>
      </c>
      <c r="AD74" s="2"/>
    </row>
    <row r="75" spans="1:30" x14ac:dyDescent="0.2">
      <c r="C75" s="432" t="s">
        <v>220</v>
      </c>
      <c r="D75" s="432"/>
      <c r="E75" s="364">
        <v>18.007999999999999</v>
      </c>
      <c r="F75" s="382">
        <v>1.8612300000000001E-7</v>
      </c>
      <c r="G75" s="282">
        <v>0</v>
      </c>
      <c r="H75" s="365">
        <v>1.13939E-6</v>
      </c>
      <c r="I75" s="351"/>
      <c r="J75" s="352"/>
      <c r="K75" s="109">
        <v>159.98599999999999</v>
      </c>
      <c r="L75" s="124">
        <v>3.9124499999999998E-7</v>
      </c>
      <c r="M75" s="278">
        <v>0</v>
      </c>
      <c r="N75" s="124">
        <v>3.5446000000000001E-7</v>
      </c>
      <c r="O75" s="447" t="s">
        <v>221</v>
      </c>
      <c r="P75" s="432"/>
      <c r="R75" s="259" t="s">
        <v>222</v>
      </c>
      <c r="S75" s="260">
        <f>B122</f>
        <v>2.3749999999999999E-3</v>
      </c>
      <c r="T75" s="261" t="s">
        <v>223</v>
      </c>
      <c r="AD75" s="2"/>
    </row>
    <row r="76" spans="1:30" s="5" customFormat="1" ht="13.5" thickBot="1" x14ac:dyDescent="0.25">
      <c r="B76" s="73"/>
      <c r="C76" s="432" t="s">
        <v>224</v>
      </c>
      <c r="D76" s="432"/>
      <c r="E76" s="364">
        <v>18.568999999999999</v>
      </c>
      <c r="F76" s="89">
        <v>1.72417E-7</v>
      </c>
      <c r="G76" s="282">
        <v>0</v>
      </c>
      <c r="H76" s="365">
        <f>H80</f>
        <v>1.13939E-6</v>
      </c>
      <c r="I76" s="73"/>
      <c r="J76" s="73"/>
      <c r="K76" s="109">
        <v>156.72399999999999</v>
      </c>
      <c r="L76" s="124">
        <v>4.00532E-7</v>
      </c>
      <c r="M76" s="278">
        <f>M80</f>
        <v>0</v>
      </c>
      <c r="N76" s="124">
        <f>N80</f>
        <v>3.5446000000000001E-7</v>
      </c>
      <c r="O76" s="447" t="s">
        <v>225</v>
      </c>
      <c r="P76" s="432"/>
      <c r="R76" s="262"/>
      <c r="S76" s="263"/>
      <c r="T76" s="264"/>
      <c r="AA76" s="73"/>
      <c r="AB76" s="73"/>
      <c r="AD76" s="73"/>
    </row>
    <row r="77" spans="1:30" ht="13.5" thickTop="1" x14ac:dyDescent="0.2">
      <c r="C77" s="432" t="s">
        <v>226</v>
      </c>
      <c r="D77" s="432"/>
      <c r="E77" s="366">
        <v>18.268000000000001</v>
      </c>
      <c r="F77" s="64">
        <v>1.7761699999999999E-7</v>
      </c>
      <c r="G77" s="282">
        <v>0</v>
      </c>
      <c r="H77" s="365">
        <f>H81</f>
        <v>1.13939E-6</v>
      </c>
      <c r="I77" s="188"/>
      <c r="J77" s="188"/>
      <c r="K77" s="215">
        <v>152.21199999999999</v>
      </c>
      <c r="L77" s="214">
        <v>4.0973299999999998E-7</v>
      </c>
      <c r="M77" s="278">
        <f>M81</f>
        <v>0</v>
      </c>
      <c r="N77" s="131">
        <f>N81</f>
        <v>3.5446000000000001E-7</v>
      </c>
      <c r="O77" s="447" t="s">
        <v>227</v>
      </c>
      <c r="P77" s="432"/>
      <c r="S77" s="6"/>
      <c r="T77" s="2"/>
      <c r="AD77" s="2"/>
    </row>
    <row r="78" spans="1:30" ht="13.5" thickBot="1" x14ac:dyDescent="0.25">
      <c r="C78" s="446" t="s">
        <v>228</v>
      </c>
      <c r="D78" s="446"/>
      <c r="E78" s="364">
        <v>20.635392</v>
      </c>
      <c r="F78" s="73">
        <v>1.8059E-7</v>
      </c>
      <c r="G78" s="282">
        <v>0</v>
      </c>
      <c r="H78" s="367">
        <v>1.13939E-6</v>
      </c>
      <c r="I78" s="117"/>
      <c r="J78" s="117"/>
      <c r="K78" s="123">
        <v>149.17500000000001</v>
      </c>
      <c r="L78" s="123">
        <v>4.2040500000000001E-7</v>
      </c>
      <c r="M78" s="279">
        <v>0</v>
      </c>
      <c r="N78" s="134">
        <v>3.5446000000000001E-7</v>
      </c>
      <c r="O78" s="445" t="s">
        <v>229</v>
      </c>
      <c r="P78" s="446"/>
      <c r="S78" s="85" t="s">
        <v>230</v>
      </c>
      <c r="T78" s="2"/>
      <c r="AD78" s="2"/>
    </row>
    <row r="79" spans="1:30" ht="13.5" thickTop="1" x14ac:dyDescent="0.2">
      <c r="C79" s="446" t="s">
        <v>231</v>
      </c>
      <c r="D79" s="446"/>
      <c r="E79" s="364">
        <v>20.867000000000001</v>
      </c>
      <c r="F79" s="361">
        <v>1.7797E-7</v>
      </c>
      <c r="G79" s="362">
        <v>0</v>
      </c>
      <c r="H79" s="367">
        <v>1.13939E-6</v>
      </c>
      <c r="I79" s="117"/>
      <c r="J79" s="117"/>
      <c r="K79" s="123">
        <v>145.38999999999999</v>
      </c>
      <c r="L79" s="132">
        <v>4.3561400000000003E-7</v>
      </c>
      <c r="M79" s="280">
        <v>0</v>
      </c>
      <c r="N79" s="134">
        <v>3.5446000000000001E-7</v>
      </c>
      <c r="O79" s="445" t="s">
        <v>232</v>
      </c>
      <c r="P79" s="446"/>
      <c r="R79" s="256"/>
      <c r="S79" s="257"/>
      <c r="T79" s="258"/>
      <c r="AD79" s="2"/>
    </row>
    <row r="80" spans="1:30" ht="16.5" customHeight="1" x14ac:dyDescent="0.2">
      <c r="C80" s="446" t="s">
        <v>233</v>
      </c>
      <c r="D80" s="446"/>
      <c r="E80" s="368">
        <v>19.863</v>
      </c>
      <c r="F80" s="360">
        <v>1.8930000000000001E-7</v>
      </c>
      <c r="G80" s="362">
        <v>0</v>
      </c>
      <c r="H80" s="367">
        <v>1.13939E-6</v>
      </c>
      <c r="I80" s="139"/>
      <c r="J80" s="139"/>
      <c r="K80" s="133">
        <v>142.346</v>
      </c>
      <c r="L80" s="135">
        <v>4.4855700000000001E-7</v>
      </c>
      <c r="M80" s="280">
        <v>0</v>
      </c>
      <c r="N80" s="134">
        <v>3.5446000000000001E-7</v>
      </c>
      <c r="O80" s="445" t="s">
        <v>234</v>
      </c>
      <c r="P80" s="446"/>
      <c r="R80" s="265"/>
      <c r="S80" s="197"/>
      <c r="T80" s="266"/>
      <c r="AD80" s="2"/>
    </row>
    <row r="81" spans="3:30" x14ac:dyDescent="0.2">
      <c r="C81" s="432" t="s">
        <v>235</v>
      </c>
      <c r="D81" s="432"/>
      <c r="E81" s="369">
        <v>19.472999999999999</v>
      </c>
      <c r="F81" s="361">
        <v>1.9548E-7</v>
      </c>
      <c r="G81" s="282">
        <v>0</v>
      </c>
      <c r="H81" s="365">
        <f>H82</f>
        <v>1.13939E-6</v>
      </c>
      <c r="I81" s="73"/>
      <c r="J81" s="73"/>
      <c r="K81" s="123">
        <v>137.751</v>
      </c>
      <c r="L81" s="132">
        <v>4.7390599999999998E-7</v>
      </c>
      <c r="M81" s="278">
        <f>M82</f>
        <v>0</v>
      </c>
      <c r="N81" s="131">
        <f>N82</f>
        <v>3.5446000000000001E-7</v>
      </c>
      <c r="O81" s="447" t="s">
        <v>236</v>
      </c>
      <c r="P81" s="432"/>
      <c r="R81" s="259" t="s">
        <v>214</v>
      </c>
      <c r="S81" s="260">
        <f>B143</f>
        <v>2.1999999999999999E-2</v>
      </c>
      <c r="T81" s="261" t="s">
        <v>215</v>
      </c>
      <c r="AD81" s="2"/>
    </row>
    <row r="82" spans="3:30" x14ac:dyDescent="0.2">
      <c r="C82" s="432" t="s">
        <v>237</v>
      </c>
      <c r="D82" s="432"/>
      <c r="E82" s="364">
        <v>21.111757000000001</v>
      </c>
      <c r="F82" s="89">
        <v>1.8286200000000001E-7</v>
      </c>
      <c r="G82" s="282">
        <v>0</v>
      </c>
      <c r="H82" s="365">
        <f>H83</f>
        <v>1.13939E-6</v>
      </c>
      <c r="K82" s="123">
        <v>133.98599999999999</v>
      </c>
      <c r="L82" s="124">
        <v>5.0406999999999999E-7</v>
      </c>
      <c r="M82" s="278">
        <f>M83</f>
        <v>0</v>
      </c>
      <c r="N82" s="127">
        <f>N83</f>
        <v>3.5446000000000001E-7</v>
      </c>
      <c r="O82" s="447" t="s">
        <v>238</v>
      </c>
      <c r="P82" s="432"/>
      <c r="R82" s="259" t="s">
        <v>218</v>
      </c>
      <c r="S82" s="260">
        <f>B144</f>
        <v>-6.1500000000000001E-3</v>
      </c>
      <c r="T82" s="261" t="s">
        <v>219</v>
      </c>
      <c r="AD82" s="2"/>
    </row>
    <row r="83" spans="3:30" x14ac:dyDescent="0.2">
      <c r="C83" s="432" t="s">
        <v>239</v>
      </c>
      <c r="D83" s="432"/>
      <c r="E83" s="364">
        <v>20.312000000000001</v>
      </c>
      <c r="F83" s="73">
        <v>1.9194305998780883E-7</v>
      </c>
      <c r="G83" s="282">
        <v>0</v>
      </c>
      <c r="H83" s="370">
        <f>H84</f>
        <v>1.13939E-6</v>
      </c>
      <c r="I83" s="2"/>
      <c r="K83" s="123">
        <v>130.79400000000001</v>
      </c>
      <c r="L83" s="124">
        <v>5.0410086929281849E-7</v>
      </c>
      <c r="M83" s="278">
        <v>0</v>
      </c>
      <c r="N83" s="127">
        <v>3.5446000000000001E-7</v>
      </c>
      <c r="O83" s="447" t="s">
        <v>240</v>
      </c>
      <c r="P83" s="432"/>
      <c r="R83" s="259" t="s">
        <v>222</v>
      </c>
      <c r="S83" s="260">
        <f>B145</f>
        <v>2.384E-2</v>
      </c>
      <c r="T83" s="261" t="s">
        <v>223</v>
      </c>
      <c r="AD83" s="2"/>
    </row>
    <row r="84" spans="3:30" ht="13.5" thickBot="1" x14ac:dyDescent="0.25">
      <c r="C84" s="432" t="s">
        <v>241</v>
      </c>
      <c r="D84" s="432"/>
      <c r="E84" s="371">
        <f>E85</f>
        <v>18.585999999999999</v>
      </c>
      <c r="F84" s="363">
        <f>F85</f>
        <v>2.1299999999999999E-7</v>
      </c>
      <c r="G84" s="282">
        <f>G85</f>
        <v>0</v>
      </c>
      <c r="H84" s="370">
        <f>H85</f>
        <v>1.13939E-6</v>
      </c>
      <c r="I84" s="4"/>
      <c r="J84" s="4"/>
      <c r="K84" s="109">
        <f>K85</f>
        <v>120.235</v>
      </c>
      <c r="L84" s="110">
        <f>L85</f>
        <v>5.1389999999999996E-7</v>
      </c>
      <c r="M84" s="278">
        <f>M85</f>
        <v>0</v>
      </c>
      <c r="N84" s="112">
        <f>N85</f>
        <v>3.5446000000000001E-7</v>
      </c>
      <c r="O84" s="447" t="s">
        <v>242</v>
      </c>
      <c r="P84" s="432"/>
      <c r="R84" s="262"/>
      <c r="S84" s="263"/>
      <c r="T84" s="264"/>
      <c r="AD84" s="2"/>
    </row>
    <row r="85" spans="3:30" ht="14.25" thickTop="1" thickBot="1" x14ac:dyDescent="0.25">
      <c r="C85" s="431" t="s">
        <v>243</v>
      </c>
      <c r="D85" s="431"/>
      <c r="E85" s="372">
        <f>E91</f>
        <v>18.585999999999999</v>
      </c>
      <c r="F85" s="373">
        <f>F91</f>
        <v>2.1299999999999999E-7</v>
      </c>
      <c r="G85" s="374">
        <v>0</v>
      </c>
      <c r="H85" s="375">
        <f>H91*1.025</f>
        <v>1.13939E-6</v>
      </c>
      <c r="I85" s="4"/>
      <c r="J85" s="4"/>
      <c r="K85" s="109">
        <f>K91*1</f>
        <v>120.235</v>
      </c>
      <c r="L85" s="110">
        <f>L91*1</f>
        <v>5.1389999999999996E-7</v>
      </c>
      <c r="M85" s="278">
        <v>0</v>
      </c>
      <c r="N85" s="112">
        <f>N91*1</f>
        <v>3.5446000000000001E-7</v>
      </c>
      <c r="O85" s="447" t="s">
        <v>244</v>
      </c>
      <c r="P85" s="432"/>
      <c r="AD85" s="2"/>
    </row>
    <row r="86" spans="3:30" x14ac:dyDescent="0.2">
      <c r="E86" s="77"/>
      <c r="F86" s="37"/>
      <c r="G86" s="281"/>
      <c r="H86" s="78"/>
      <c r="I86" s="37"/>
      <c r="J86" s="37"/>
      <c r="K86" s="77"/>
      <c r="L86" s="37"/>
      <c r="M86" s="281"/>
      <c r="N86" s="78"/>
      <c r="Q86" s="2"/>
      <c r="AD86" s="2"/>
    </row>
    <row r="87" spans="3:30" x14ac:dyDescent="0.2">
      <c r="E87" s="158">
        <f>+'Loss Analysis 1995'!B38</f>
        <v>17.273</v>
      </c>
      <c r="F87" s="89">
        <f>+'Loss Analysis 1995'!C38</f>
        <v>3.4176000000000001E-7</v>
      </c>
      <c r="G87" s="282">
        <f>+'Loss Analysis 1995'!D38</f>
        <v>0</v>
      </c>
      <c r="H87" s="90">
        <f>+'Loss Analysis 1995'!E38</f>
        <v>1.0499999999999999E-6</v>
      </c>
      <c r="I87" s="81" t="s">
        <v>245</v>
      </c>
      <c r="J87" s="89"/>
      <c r="K87" s="91">
        <f>+'Loss Analysis 1995'!F38</f>
        <v>97.167000000000002</v>
      </c>
      <c r="L87" s="89">
        <f>+'Loss Analysis 1995'!G38</f>
        <v>5.8780000000000001E-7</v>
      </c>
      <c r="M87" s="282">
        <f>+'Loss Analysis 1995'!H38</f>
        <v>0</v>
      </c>
      <c r="N87" s="90">
        <f>+'Loss Analysis 1995'!I38</f>
        <v>4.2553199999999998E-7</v>
      </c>
      <c r="O87" s="81" t="s">
        <v>245</v>
      </c>
      <c r="P87" s="2"/>
      <c r="Q87" s="2"/>
      <c r="AD87" s="2"/>
    </row>
    <row r="88" spans="3:30" x14ac:dyDescent="0.2">
      <c r="E88" s="91">
        <v>19.73</v>
      </c>
      <c r="F88" s="89">
        <v>2.9980999999999998E-7</v>
      </c>
      <c r="G88" s="282">
        <v>0</v>
      </c>
      <c r="H88" s="90">
        <v>1.1116000000000001E-6</v>
      </c>
      <c r="I88" s="81" t="s">
        <v>246</v>
      </c>
      <c r="J88" s="89"/>
      <c r="K88" s="91">
        <v>115.01</v>
      </c>
      <c r="L88" s="89">
        <v>5.6398999999999996E-7</v>
      </c>
      <c r="M88" s="282">
        <v>0</v>
      </c>
      <c r="N88" s="90">
        <v>3.5446000000000001E-7</v>
      </c>
      <c r="O88" s="81" t="s">
        <v>246</v>
      </c>
      <c r="P88" s="2"/>
      <c r="Q88" s="2"/>
      <c r="AD88" s="2"/>
    </row>
    <row r="89" spans="3:30" x14ac:dyDescent="0.2">
      <c r="D89" s="137"/>
      <c r="E89" s="91">
        <f>19.73*1.02866</f>
        <v>20.295461799999998</v>
      </c>
      <c r="F89" s="89">
        <v>2.9980999999999998E-7</v>
      </c>
      <c r="G89" s="282">
        <v>0</v>
      </c>
      <c r="H89" s="90">
        <v>1.1116000000000001E-6</v>
      </c>
      <c r="I89" s="81" t="s">
        <v>247</v>
      </c>
      <c r="J89" s="73"/>
      <c r="K89" s="91">
        <f>K88*1.159</f>
        <v>133.29659000000001</v>
      </c>
      <c r="L89" s="89">
        <v>5.6398999999999996E-7</v>
      </c>
      <c r="M89" s="282">
        <v>0</v>
      </c>
      <c r="N89" s="90">
        <v>3.5446000000000001E-7</v>
      </c>
      <c r="O89" s="81" t="s">
        <v>247</v>
      </c>
      <c r="P89" s="2"/>
      <c r="Q89" s="2"/>
      <c r="AD89" s="2"/>
    </row>
    <row r="90" spans="3:30" x14ac:dyDescent="0.2">
      <c r="E90" s="159" t="s">
        <v>248</v>
      </c>
      <c r="F90" s="81"/>
      <c r="G90" s="73"/>
      <c r="H90" s="92"/>
      <c r="I90" s="73"/>
      <c r="J90" s="73"/>
      <c r="K90" s="93" t="s">
        <v>249</v>
      </c>
      <c r="L90" s="73"/>
      <c r="M90" s="73"/>
      <c r="N90" s="92"/>
      <c r="O90" s="73"/>
      <c r="P90" s="2"/>
      <c r="Q90" s="2"/>
      <c r="V90" s="97"/>
      <c r="AD90" s="2"/>
    </row>
    <row r="91" spans="3:30" x14ac:dyDescent="0.2">
      <c r="D91" s="137" t="s">
        <v>250</v>
      </c>
      <c r="E91" s="113">
        <v>18.585999999999999</v>
      </c>
      <c r="F91" s="114">
        <v>2.1299999999999999E-7</v>
      </c>
      <c r="G91" s="111">
        <v>0</v>
      </c>
      <c r="H91" s="112">
        <v>1.1116000000000001E-6</v>
      </c>
      <c r="I91" s="4"/>
      <c r="J91" s="4"/>
      <c r="K91" s="113">
        <v>120.235</v>
      </c>
      <c r="L91" s="114">
        <v>5.1389999999999996E-7</v>
      </c>
      <c r="M91" s="115">
        <v>0</v>
      </c>
      <c r="N91" s="114">
        <v>3.5446000000000001E-7</v>
      </c>
      <c r="O91" s="447" t="s">
        <v>251</v>
      </c>
      <c r="P91" s="432"/>
      <c r="V91" s="97"/>
      <c r="AD91" s="2"/>
    </row>
    <row r="92" spans="3:30" x14ac:dyDescent="0.2">
      <c r="E92" s="100" t="s">
        <v>252</v>
      </c>
      <c r="F92" s="101"/>
      <c r="G92" s="98" t="s">
        <v>253</v>
      </c>
      <c r="H92" s="86"/>
      <c r="I92" s="94"/>
      <c r="K92" s="100" t="s">
        <v>252</v>
      </c>
      <c r="L92" s="101"/>
      <c r="M92" s="116" t="s">
        <v>27</v>
      </c>
      <c r="N92" s="86"/>
      <c r="V92" s="97"/>
      <c r="AD92" s="2"/>
    </row>
    <row r="93" spans="3:30" x14ac:dyDescent="0.2">
      <c r="D93" s="79" t="s">
        <v>254</v>
      </c>
      <c r="E93" s="94" t="s">
        <v>255</v>
      </c>
      <c r="F93" s="59"/>
      <c r="G93" s="94" t="s">
        <v>256</v>
      </c>
      <c r="H93" s="59"/>
      <c r="I93" s="94"/>
      <c r="K93" s="94" t="s">
        <v>257</v>
      </c>
      <c r="L93" s="59"/>
      <c r="M93" s="94"/>
      <c r="N93" s="59"/>
      <c r="P93" s="5" t="s">
        <v>27</v>
      </c>
      <c r="AD93" s="2"/>
    </row>
    <row r="94" spans="3:30" x14ac:dyDescent="0.2">
      <c r="E94" s="95" t="s">
        <v>258</v>
      </c>
      <c r="F94" s="61"/>
      <c r="G94" s="95" t="s">
        <v>259</v>
      </c>
      <c r="H94" s="61"/>
      <c r="I94" s="94"/>
      <c r="K94" s="95" t="s">
        <v>258</v>
      </c>
      <c r="L94" s="61"/>
      <c r="M94" s="99" t="s">
        <v>260</v>
      </c>
      <c r="N94" s="61"/>
      <c r="AD94" s="2"/>
    </row>
    <row r="95" spans="3:30" ht="15" x14ac:dyDescent="0.2">
      <c r="Q95" s="103"/>
      <c r="X95" s="2"/>
      <c r="AD95" s="2"/>
    </row>
    <row r="96" spans="3:30" ht="15.75" x14ac:dyDescent="0.25">
      <c r="L96" s="102" t="s">
        <v>261</v>
      </c>
      <c r="M96" s="103"/>
      <c r="N96" s="103"/>
      <c r="O96" s="102" t="s">
        <v>262</v>
      </c>
      <c r="P96" s="103"/>
      <c r="Q96" s="103"/>
      <c r="X96" s="2"/>
      <c r="AD96" s="2"/>
    </row>
    <row r="97" spans="1:30" ht="15.75" x14ac:dyDescent="0.25">
      <c r="L97" s="102"/>
      <c r="M97" s="103"/>
      <c r="N97" s="103"/>
      <c r="O97" s="102"/>
      <c r="P97" s="103"/>
      <c r="Q97" s="103"/>
      <c r="X97" s="2"/>
      <c r="AD97" s="2"/>
    </row>
    <row r="98" spans="1:30" ht="15.75" x14ac:dyDescent="0.25">
      <c r="L98" s="102"/>
      <c r="M98" s="103"/>
      <c r="N98" s="103"/>
      <c r="O98" s="102"/>
      <c r="P98" s="103"/>
      <c r="Q98" s="103"/>
      <c r="X98" s="2"/>
      <c r="AD98" s="2"/>
    </row>
    <row r="99" spans="1:30" ht="15.75" x14ac:dyDescent="0.25">
      <c r="I99" s="2"/>
      <c r="J99" s="120" t="s">
        <v>263</v>
      </c>
      <c r="K99" s="2"/>
      <c r="L99" s="102"/>
      <c r="M99" s="103"/>
      <c r="N99" s="103"/>
      <c r="O99" s="102"/>
      <c r="P99" s="103"/>
      <c r="Q99" s="103"/>
      <c r="X99" s="2"/>
      <c r="AD99" s="2"/>
    </row>
    <row r="100" spans="1:30" ht="15.75" x14ac:dyDescent="0.25">
      <c r="A100" s="85"/>
      <c r="B100" s="85"/>
      <c r="L100" s="102"/>
      <c r="M100" s="103"/>
      <c r="N100" s="103"/>
      <c r="O100" s="102"/>
      <c r="P100" s="103"/>
      <c r="Q100" s="103"/>
      <c r="X100" s="2"/>
      <c r="AD100" s="2"/>
    </row>
    <row r="101" spans="1:30" ht="15.75" x14ac:dyDescent="0.25">
      <c r="A101" s="1"/>
      <c r="B101" s="6"/>
      <c r="C101" s="85"/>
      <c r="L101" s="102"/>
      <c r="M101" s="103"/>
      <c r="N101" s="103"/>
      <c r="O101" s="102"/>
      <c r="P101" s="103"/>
      <c r="Q101" s="103"/>
      <c r="X101" s="2"/>
      <c r="AD101" s="2"/>
    </row>
    <row r="102" spans="1:30" ht="15.75" x14ac:dyDescent="0.25">
      <c r="A102" s="353"/>
      <c r="B102" s="97"/>
      <c r="L102" s="102"/>
      <c r="M102" s="103"/>
      <c r="N102" s="103"/>
      <c r="O102" s="102"/>
      <c r="P102" s="103"/>
      <c r="Q102" s="103"/>
      <c r="X102" s="2"/>
      <c r="AD102" s="2"/>
    </row>
    <row r="103" spans="1:30" ht="15.75" x14ac:dyDescent="0.25">
      <c r="A103" s="353"/>
      <c r="B103" s="97"/>
      <c r="C103" s="353"/>
      <c r="L103" s="102"/>
      <c r="M103" s="103"/>
      <c r="N103" s="103"/>
      <c r="O103" s="102"/>
      <c r="P103" s="103"/>
      <c r="Q103" s="103"/>
      <c r="X103" s="2"/>
      <c r="AD103" s="2"/>
    </row>
    <row r="104" spans="1:30" ht="15.75" x14ac:dyDescent="0.25">
      <c r="A104" s="353"/>
      <c r="B104" s="97"/>
      <c r="C104" s="353"/>
      <c r="L104" s="102"/>
      <c r="M104" s="103"/>
      <c r="N104" s="103"/>
      <c r="O104" s="102"/>
      <c r="P104" s="103"/>
      <c r="Q104" s="103"/>
      <c r="X104" s="2"/>
      <c r="AD104" s="2"/>
    </row>
    <row r="105" spans="1:30" ht="15.75" x14ac:dyDescent="0.25">
      <c r="A105" s="1"/>
      <c r="B105" s="6"/>
      <c r="C105" s="353"/>
      <c r="L105" s="102"/>
      <c r="M105" s="103"/>
      <c r="N105" s="103"/>
      <c r="O105" s="102"/>
      <c r="P105" s="103"/>
      <c r="Q105" s="103"/>
      <c r="X105" s="2"/>
      <c r="AD105" s="2"/>
    </row>
    <row r="106" spans="1:30" ht="15.75" x14ac:dyDescent="0.25">
      <c r="L106" s="102"/>
      <c r="M106" s="103"/>
      <c r="N106" s="103"/>
      <c r="O106" s="102"/>
      <c r="P106" s="103"/>
      <c r="Q106" s="103"/>
      <c r="X106" s="2"/>
      <c r="AD106" s="2"/>
    </row>
    <row r="107" spans="1:30" ht="15.75" x14ac:dyDescent="0.25">
      <c r="L107" s="102"/>
      <c r="M107" s="103"/>
      <c r="N107" s="103"/>
      <c r="O107" s="102"/>
      <c r="P107" s="103"/>
      <c r="Q107" s="103"/>
      <c r="X107" s="2"/>
      <c r="AD107" s="2"/>
    </row>
    <row r="108" spans="1:30" ht="15.75" x14ac:dyDescent="0.25">
      <c r="L108" s="102"/>
      <c r="M108" s="103"/>
      <c r="N108" s="103"/>
      <c r="O108" s="102"/>
      <c r="P108" s="103"/>
      <c r="Q108" s="103"/>
      <c r="X108" s="2"/>
      <c r="AD108" s="2"/>
    </row>
    <row r="109" spans="1:30" ht="15.75" x14ac:dyDescent="0.25">
      <c r="L109" s="102"/>
      <c r="M109" s="103"/>
      <c r="N109" s="103"/>
      <c r="O109" s="102"/>
      <c r="P109" s="103"/>
      <c r="Q109" s="103"/>
      <c r="X109" s="2"/>
      <c r="AD109" s="2"/>
    </row>
    <row r="110" spans="1:30" ht="15.75" x14ac:dyDescent="0.25">
      <c r="L110" s="102"/>
      <c r="M110" s="103"/>
      <c r="N110" s="103"/>
      <c r="O110" s="102"/>
      <c r="P110" s="103"/>
      <c r="Q110" s="103"/>
      <c r="X110" s="2"/>
      <c r="AD110" s="2"/>
    </row>
    <row r="111" spans="1:30" ht="15.75" x14ac:dyDescent="0.25">
      <c r="L111" s="102"/>
      <c r="M111" s="103"/>
      <c r="N111" s="103"/>
      <c r="O111" s="102"/>
      <c r="P111" s="103"/>
      <c r="Q111" s="103"/>
      <c r="X111" s="2"/>
      <c r="AD111" s="2"/>
    </row>
    <row r="112" spans="1:30" ht="15.75" x14ac:dyDescent="0.25">
      <c r="L112" s="102"/>
      <c r="M112" s="103"/>
      <c r="N112" s="103"/>
      <c r="O112" s="102"/>
      <c r="P112" s="103"/>
      <c r="Q112" s="103"/>
      <c r="X112" s="2"/>
      <c r="AD112" s="2"/>
    </row>
    <row r="113" spans="1:30" ht="15.75" x14ac:dyDescent="0.25">
      <c r="L113" s="102"/>
      <c r="M113" s="103"/>
      <c r="N113" s="103"/>
      <c r="O113" s="102"/>
      <c r="P113" s="103"/>
      <c r="Q113" s="103"/>
      <c r="X113" s="2"/>
      <c r="AD113" s="2"/>
    </row>
    <row r="114" spans="1:30" ht="15.75" x14ac:dyDescent="0.25">
      <c r="L114" s="102"/>
      <c r="M114" s="103"/>
      <c r="N114" s="103"/>
      <c r="O114" s="102"/>
      <c r="P114" s="103"/>
      <c r="Q114" s="103"/>
      <c r="X114" s="2"/>
      <c r="AD114" s="2"/>
    </row>
    <row r="115" spans="1:30" ht="15.75" x14ac:dyDescent="0.25">
      <c r="L115" s="102"/>
      <c r="M115" s="103"/>
      <c r="N115" s="103"/>
      <c r="O115" s="102"/>
      <c r="P115" s="103"/>
      <c r="Q115" s="103"/>
      <c r="X115" s="2"/>
      <c r="AD115" s="2"/>
    </row>
    <row r="116" spans="1:30" ht="15.75" x14ac:dyDescent="0.25">
      <c r="L116" s="102"/>
      <c r="M116" s="103"/>
      <c r="N116" s="103"/>
      <c r="O116" s="102"/>
      <c r="P116" s="103"/>
      <c r="Q116" s="103"/>
      <c r="X116" s="2"/>
      <c r="AD116" s="2"/>
    </row>
    <row r="117" spans="1:30" ht="15.75" x14ac:dyDescent="0.25">
      <c r="L117" s="102"/>
      <c r="M117" s="103"/>
      <c r="N117" s="103"/>
      <c r="O117" s="102"/>
      <c r="P117" s="103"/>
      <c r="Q117" s="103"/>
      <c r="X117" s="2"/>
      <c r="AD117" s="2"/>
    </row>
    <row r="118" spans="1:30" ht="16.5" thickBot="1" x14ac:dyDescent="0.3">
      <c r="A118" s="85" t="s">
        <v>207</v>
      </c>
      <c r="B118" s="85"/>
      <c r="C118" s="85"/>
      <c r="L118" s="102"/>
      <c r="M118" s="103"/>
      <c r="N118" s="103"/>
      <c r="O118" s="102"/>
      <c r="P118" s="103"/>
      <c r="Q118" s="103"/>
      <c r="X118" s="2"/>
      <c r="AD118" s="2"/>
    </row>
    <row r="119" spans="1:30" ht="16.5" thickTop="1" x14ac:dyDescent="0.25">
      <c r="A119" s="320"/>
      <c r="B119" s="321"/>
      <c r="C119" s="322"/>
      <c r="L119" s="102"/>
      <c r="M119" s="103"/>
      <c r="N119" s="103"/>
      <c r="O119" s="102"/>
      <c r="P119" s="103"/>
      <c r="Q119" s="103"/>
      <c r="X119" s="2"/>
      <c r="AD119" s="2"/>
    </row>
    <row r="120" spans="1:30" ht="15.75" x14ac:dyDescent="0.25">
      <c r="A120" s="323" t="s">
        <v>214</v>
      </c>
      <c r="B120" s="377">
        <v>1.61E-2</v>
      </c>
      <c r="C120" s="324" t="s">
        <v>215</v>
      </c>
      <c r="L120" s="102"/>
      <c r="M120" s="103"/>
      <c r="N120" s="103"/>
      <c r="O120" s="102"/>
      <c r="P120" s="103"/>
      <c r="Q120" s="103"/>
      <c r="X120" s="2"/>
      <c r="AD120" s="2"/>
    </row>
    <row r="121" spans="1:30" ht="15.75" x14ac:dyDescent="0.25">
      <c r="A121" s="323" t="s">
        <v>218</v>
      </c>
      <c r="B121" s="377">
        <v>-5.1000000000000004E-3</v>
      </c>
      <c r="C121" s="324" t="s">
        <v>219</v>
      </c>
      <c r="L121" s="102"/>
      <c r="M121" s="103"/>
      <c r="N121" s="103"/>
      <c r="O121" s="102"/>
      <c r="P121" s="103"/>
      <c r="Q121" s="103"/>
      <c r="X121" s="2"/>
      <c r="AD121" s="2"/>
    </row>
    <row r="122" spans="1:30" ht="15.75" x14ac:dyDescent="0.25">
      <c r="A122" s="323" t="s">
        <v>222</v>
      </c>
      <c r="B122" s="377">
        <v>2.3749999999999999E-3</v>
      </c>
      <c r="C122" s="324" t="s">
        <v>223</v>
      </c>
      <c r="L122" s="102"/>
      <c r="M122" s="103"/>
      <c r="N122" s="103"/>
      <c r="O122" s="102"/>
      <c r="P122" s="103"/>
      <c r="Q122" s="103"/>
      <c r="X122" s="2"/>
      <c r="AD122" s="2"/>
    </row>
    <row r="123" spans="1:30" ht="16.5" thickBot="1" x14ac:dyDescent="0.3">
      <c r="A123" s="325"/>
      <c r="B123" s="326"/>
      <c r="C123" s="327"/>
      <c r="L123" s="102"/>
      <c r="M123" s="103"/>
      <c r="N123" s="103"/>
      <c r="O123" s="102"/>
      <c r="P123" s="103"/>
      <c r="Q123" s="103"/>
      <c r="X123" s="2"/>
      <c r="AD123" s="2"/>
    </row>
    <row r="124" spans="1:30" ht="16.5" thickTop="1" x14ac:dyDescent="0.25">
      <c r="L124" s="102"/>
      <c r="M124" s="103"/>
      <c r="N124" s="103"/>
      <c r="O124" s="102"/>
      <c r="P124" s="103"/>
      <c r="Q124" s="103"/>
      <c r="X124" s="2"/>
      <c r="AD124" s="2"/>
    </row>
    <row r="125" spans="1:30" ht="15.75" x14ac:dyDescent="0.25">
      <c r="L125" s="102"/>
      <c r="M125" s="103"/>
      <c r="N125" s="103"/>
      <c r="O125" s="102"/>
      <c r="P125" s="103"/>
      <c r="Q125" s="103"/>
      <c r="X125" s="2"/>
      <c r="AD125" s="2"/>
    </row>
    <row r="126" spans="1:30" ht="15.75" x14ac:dyDescent="0.25">
      <c r="L126" s="102"/>
      <c r="M126" s="103"/>
      <c r="N126" s="103"/>
      <c r="O126" s="102"/>
      <c r="P126" s="103"/>
      <c r="Q126" s="103"/>
      <c r="X126" s="2"/>
      <c r="AD126" s="2"/>
    </row>
    <row r="127" spans="1:30" ht="15.75" x14ac:dyDescent="0.25">
      <c r="L127" s="102"/>
      <c r="M127" s="103"/>
      <c r="N127" s="103"/>
      <c r="O127" s="102"/>
      <c r="P127" s="103"/>
      <c r="Q127" s="103"/>
      <c r="X127" s="2"/>
      <c r="AD127" s="2"/>
    </row>
    <row r="128" spans="1:30" ht="15.75" x14ac:dyDescent="0.25">
      <c r="L128" s="102"/>
      <c r="M128" s="103"/>
      <c r="N128" s="103"/>
      <c r="O128" s="102"/>
      <c r="P128" s="103"/>
      <c r="Q128" s="103"/>
      <c r="X128" s="2"/>
      <c r="AD128" s="2"/>
    </row>
    <row r="129" spans="1:30" ht="15.75" x14ac:dyDescent="0.25">
      <c r="L129" s="102"/>
      <c r="M129" s="103"/>
      <c r="N129" s="103"/>
      <c r="O129" s="102"/>
      <c r="P129" s="103"/>
      <c r="Q129" s="103"/>
      <c r="X129" s="2"/>
      <c r="AD129" s="2"/>
    </row>
    <row r="130" spans="1:30" ht="15.75" x14ac:dyDescent="0.25">
      <c r="L130" s="102"/>
      <c r="M130" s="103"/>
      <c r="N130" s="103"/>
      <c r="O130" s="102"/>
      <c r="P130" s="103"/>
      <c r="Q130" s="103"/>
      <c r="X130" s="2"/>
      <c r="AD130" s="2"/>
    </row>
    <row r="131" spans="1:30" ht="15.75" x14ac:dyDescent="0.25">
      <c r="L131" s="102"/>
      <c r="M131" s="103"/>
      <c r="N131" s="103"/>
      <c r="O131" s="102"/>
      <c r="P131" s="103"/>
      <c r="Q131" s="103"/>
      <c r="X131" s="2"/>
      <c r="AD131" s="2"/>
    </row>
    <row r="132" spans="1:30" ht="15.75" x14ac:dyDescent="0.25">
      <c r="L132" s="102"/>
      <c r="M132" s="103"/>
      <c r="N132" s="103"/>
      <c r="O132" s="102"/>
      <c r="P132" s="103"/>
      <c r="Q132" s="103"/>
      <c r="X132" s="2"/>
      <c r="AD132" s="2"/>
    </row>
    <row r="133" spans="1:30" ht="15.75" x14ac:dyDescent="0.25">
      <c r="L133" s="102"/>
      <c r="M133" s="103"/>
      <c r="N133" s="103"/>
      <c r="O133" s="102"/>
      <c r="P133" s="103"/>
      <c r="Q133" s="2"/>
      <c r="X133" s="2"/>
      <c r="AD133" s="2"/>
    </row>
    <row r="134" spans="1:30" x14ac:dyDescent="0.2">
      <c r="E134" s="2"/>
      <c r="F134" s="2"/>
      <c r="G134" s="2"/>
      <c r="H134" s="2"/>
      <c r="I134" s="2"/>
      <c r="J134" s="2"/>
      <c r="O134" s="2"/>
      <c r="P134" s="2"/>
      <c r="Q134" s="2"/>
      <c r="X134" s="2"/>
      <c r="AD134" s="2"/>
    </row>
    <row r="135" spans="1:30" x14ac:dyDescent="0.2"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X135" s="2"/>
      <c r="AD135" s="2"/>
    </row>
    <row r="136" spans="1:30" x14ac:dyDescent="0.2"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X136" s="2"/>
      <c r="AD136" s="2"/>
    </row>
    <row r="137" spans="1:30" ht="15" x14ac:dyDescent="0.25">
      <c r="B137"/>
      <c r="C137"/>
      <c r="E137" s="2"/>
      <c r="F137" s="2"/>
      <c r="H137" s="2"/>
      <c r="I137" s="2"/>
      <c r="J137" s="2"/>
      <c r="K137" s="2"/>
      <c r="L137" s="120"/>
      <c r="M137" s="2"/>
      <c r="N137" s="2"/>
      <c r="O137" s="2"/>
      <c r="P137" s="2"/>
    </row>
    <row r="140" spans="1:30" x14ac:dyDescent="0.2">
      <c r="B140" s="6"/>
    </row>
    <row r="141" spans="1:30" ht="13.5" thickBot="1" x14ac:dyDescent="0.25">
      <c r="B141" s="85" t="s">
        <v>230</v>
      </c>
    </row>
    <row r="142" spans="1:30" ht="13.5" thickTop="1" x14ac:dyDescent="0.2">
      <c r="A142" s="328"/>
      <c r="B142" s="329"/>
      <c r="C142" s="322"/>
    </row>
    <row r="143" spans="1:30" x14ac:dyDescent="0.2">
      <c r="A143" s="323" t="s">
        <v>214</v>
      </c>
      <c r="B143" s="377">
        <v>2.1999999999999999E-2</v>
      </c>
      <c r="C143" s="324" t="s">
        <v>215</v>
      </c>
    </row>
    <row r="144" spans="1:30" x14ac:dyDescent="0.2">
      <c r="A144" s="323" t="s">
        <v>218</v>
      </c>
      <c r="B144" s="377">
        <v>-6.1500000000000001E-3</v>
      </c>
      <c r="C144" s="324" t="s">
        <v>219</v>
      </c>
    </row>
    <row r="145" spans="1:3" x14ac:dyDescent="0.2">
      <c r="A145" s="323" t="s">
        <v>222</v>
      </c>
      <c r="B145" s="377">
        <v>2.384E-2</v>
      </c>
      <c r="C145" s="324" t="s">
        <v>223</v>
      </c>
    </row>
    <row r="146" spans="1:3" ht="13.5" thickBot="1" x14ac:dyDescent="0.25">
      <c r="A146" s="330"/>
      <c r="B146" s="331"/>
      <c r="C146" s="327"/>
    </row>
    <row r="147" spans="1:3" ht="13.5" thickTop="1" x14ac:dyDescent="0.2"/>
    <row r="149" spans="1:3" x14ac:dyDescent="0.2">
      <c r="B149"/>
    </row>
    <row r="150" spans="1:3" x14ac:dyDescent="0.2">
      <c r="B150" s="97"/>
    </row>
    <row r="151" spans="1:3" x14ac:dyDescent="0.2">
      <c r="B151" s="97"/>
      <c r="C151"/>
    </row>
    <row r="152" spans="1:3" x14ac:dyDescent="0.2">
      <c r="B152" s="97"/>
      <c r="C152"/>
    </row>
    <row r="153" spans="1:3" x14ac:dyDescent="0.2">
      <c r="B153" s="97"/>
      <c r="C153"/>
    </row>
    <row r="156" spans="1:3" x14ac:dyDescent="0.2">
      <c r="B156"/>
    </row>
    <row r="157" spans="1:3" x14ac:dyDescent="0.2">
      <c r="B157"/>
    </row>
    <row r="158" spans="1:3" x14ac:dyDescent="0.2">
      <c r="B158"/>
    </row>
  </sheetData>
  <mergeCells count="37">
    <mergeCell ref="C84:D84"/>
    <mergeCell ref="O83:P83"/>
    <mergeCell ref="O81:P81"/>
    <mergeCell ref="C74:D74"/>
    <mergeCell ref="O74:P74"/>
    <mergeCell ref="O80:P80"/>
    <mergeCell ref="C1:G1"/>
    <mergeCell ref="C77:D77"/>
    <mergeCell ref="C78:D78"/>
    <mergeCell ref="C79:D79"/>
    <mergeCell ref="O91:P91"/>
    <mergeCell ref="C83:D83"/>
    <mergeCell ref="C80:D80"/>
    <mergeCell ref="O76:P76"/>
    <mergeCell ref="C85:D85"/>
    <mergeCell ref="C71:D71"/>
    <mergeCell ref="O71:P71"/>
    <mergeCell ref="C62:L62"/>
    <mergeCell ref="O84:P84"/>
    <mergeCell ref="O85:P85"/>
    <mergeCell ref="C75:D75"/>
    <mergeCell ref="O75:P75"/>
    <mergeCell ref="R62:S62"/>
    <mergeCell ref="P62:Q62"/>
    <mergeCell ref="C82:D82"/>
    <mergeCell ref="R70:T70"/>
    <mergeCell ref="O79:P79"/>
    <mergeCell ref="O77:P77"/>
    <mergeCell ref="O78:P78"/>
    <mergeCell ref="O82:P82"/>
    <mergeCell ref="C76:D76"/>
    <mergeCell ref="A63:M63"/>
    <mergeCell ref="C81:D81"/>
    <mergeCell ref="C73:D73"/>
    <mergeCell ref="O73:P73"/>
    <mergeCell ref="C72:D72"/>
    <mergeCell ref="O72:P72"/>
  </mergeCells>
  <phoneticPr fontId="13" type="noConversion"/>
  <pageMargins left="0.5" right="0" top="0.25" bottom="0.25" header="0" footer="0"/>
  <pageSetup paperSize="5" scale="5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67"/>
  <sheetViews>
    <sheetView topLeftCell="A11" zoomScale="80" zoomScaleNormal="80" workbookViewId="0">
      <selection activeCell="E25" sqref="E25"/>
    </sheetView>
  </sheetViews>
  <sheetFormatPr defaultRowHeight="12.75" x14ac:dyDescent="0.2"/>
  <cols>
    <col min="1" max="1" width="15.42578125" customWidth="1"/>
    <col min="2" max="2" width="11.5703125" customWidth="1"/>
    <col min="3" max="3" width="15.140625" customWidth="1"/>
    <col min="4" max="4" width="17.5703125" customWidth="1"/>
    <col min="5" max="5" width="12.85546875" customWidth="1"/>
    <col min="7" max="7" width="14" customWidth="1"/>
    <col min="8" max="8" width="10" bestFit="1" customWidth="1"/>
    <col min="9" max="9" width="11.42578125" customWidth="1"/>
    <col min="11" max="11" width="16.42578125" customWidth="1"/>
    <col min="12" max="12" width="11.5703125" customWidth="1"/>
    <col min="13" max="13" width="13.85546875" customWidth="1"/>
    <col min="14" max="14" width="12.42578125" bestFit="1" customWidth="1"/>
    <col min="15" max="15" width="13.140625" customWidth="1"/>
    <col min="16" max="16" width="17.7109375" customWidth="1"/>
    <col min="17" max="18" width="17.140625" customWidth="1"/>
  </cols>
  <sheetData>
    <row r="1" spans="1:15" ht="18" customHeight="1" x14ac:dyDescent="0.2">
      <c r="A1" s="430" t="s">
        <v>264</v>
      </c>
      <c r="B1" s="430"/>
      <c r="C1" s="430"/>
      <c r="D1" s="430"/>
      <c r="E1" s="430"/>
      <c r="F1" s="85"/>
      <c r="G1" s="19"/>
      <c r="I1" s="121" t="s">
        <v>27</v>
      </c>
      <c r="K1" s="5"/>
      <c r="M1" s="5"/>
    </row>
    <row r="2" spans="1:15" x14ac:dyDescent="0.2">
      <c r="L2" s="432"/>
      <c r="M2" s="432"/>
      <c r="N2" s="432"/>
      <c r="O2" s="432"/>
    </row>
    <row r="3" spans="1:15" ht="14.25" x14ac:dyDescent="0.2">
      <c r="B3" s="74" t="s">
        <v>65</v>
      </c>
      <c r="C3" s="1" t="s">
        <v>66</v>
      </c>
      <c r="L3" s="432"/>
      <c r="M3" s="431"/>
      <c r="N3" s="431"/>
      <c r="O3" s="431"/>
    </row>
    <row r="4" spans="1:15" x14ac:dyDescent="0.2">
      <c r="C4" s="1" t="s">
        <v>67</v>
      </c>
      <c r="M4" s="164"/>
    </row>
    <row r="5" spans="1:15" x14ac:dyDescent="0.2">
      <c r="C5" s="1" t="s">
        <v>68</v>
      </c>
    </row>
    <row r="6" spans="1:15" x14ac:dyDescent="0.2">
      <c r="C6" s="466" t="s">
        <v>69</v>
      </c>
      <c r="D6" s="466"/>
      <c r="E6" s="466"/>
      <c r="L6" s="169"/>
    </row>
    <row r="7" spans="1:15" x14ac:dyDescent="0.2">
      <c r="C7" s="83"/>
    </row>
    <row r="8" spans="1:15" x14ac:dyDescent="0.2">
      <c r="C8" s="83"/>
    </row>
    <row r="9" spans="1:15" x14ac:dyDescent="0.2">
      <c r="C9" s="83"/>
    </row>
    <row r="10" spans="1:15" ht="20.25" x14ac:dyDescent="0.3">
      <c r="A10" s="453" t="s">
        <v>202</v>
      </c>
      <c r="B10" s="453"/>
      <c r="C10" s="453"/>
      <c r="D10" s="453"/>
    </row>
    <row r="11" spans="1:15" ht="20.25" x14ac:dyDescent="0.3">
      <c r="B11" s="194"/>
      <c r="C11" s="194"/>
      <c r="D11" s="194"/>
    </row>
    <row r="12" spans="1:15" ht="13.5" thickBot="1" x14ac:dyDescent="0.25">
      <c r="B12" s="430" t="s">
        <v>265</v>
      </c>
      <c r="C12" s="430"/>
    </row>
    <row r="13" spans="1:15" x14ac:dyDescent="0.2">
      <c r="A13" s="198">
        <f>E21+E22</f>
        <v>83.425999999999988</v>
      </c>
      <c r="B13" s="191" t="s">
        <v>266</v>
      </c>
      <c r="C13" s="467" t="s">
        <v>267</v>
      </c>
      <c r="D13" s="467"/>
      <c r="E13" s="467"/>
      <c r="F13" s="467"/>
      <c r="G13" s="468"/>
      <c r="H13" s="193"/>
      <c r="I13" s="193"/>
      <c r="K13" s="161"/>
    </row>
    <row r="14" spans="1:15" x14ac:dyDescent="0.2">
      <c r="A14" s="176"/>
      <c r="B14" s="197" t="s">
        <v>268</v>
      </c>
      <c r="C14" s="456">
        <f>E22/(E24*E24)</f>
        <v>1.5058961900130596E-7</v>
      </c>
      <c r="D14" s="456"/>
      <c r="E14" s="456"/>
      <c r="F14" s="456"/>
      <c r="G14" s="457"/>
      <c r="K14" s="162"/>
    </row>
    <row r="15" spans="1:15" ht="13.5" thickBot="1" x14ac:dyDescent="0.25">
      <c r="A15" s="178"/>
      <c r="B15" s="196" t="s">
        <v>269</v>
      </c>
      <c r="C15" s="454">
        <f>E21</f>
        <v>18.835000000000001</v>
      </c>
      <c r="D15" s="454"/>
      <c r="E15" s="454"/>
      <c r="F15" s="454"/>
      <c r="G15" s="455"/>
    </row>
    <row r="17" spans="1:17" x14ac:dyDescent="0.2">
      <c r="A17" s="1"/>
      <c r="B17" s="1"/>
      <c r="C17" s="1"/>
      <c r="D17" s="170"/>
      <c r="E17" s="73"/>
      <c r="F17" s="187"/>
      <c r="G17" s="5"/>
      <c r="H17" s="5"/>
      <c r="I17" s="5"/>
      <c r="J17" s="5"/>
    </row>
    <row r="18" spans="1:17" ht="13.5" thickBot="1" x14ac:dyDescent="0.25">
      <c r="A18" s="6"/>
      <c r="B18" s="452" t="s">
        <v>270</v>
      </c>
      <c r="C18" s="452"/>
      <c r="D18" s="160"/>
      <c r="E18" s="160"/>
    </row>
    <row r="19" spans="1:17" x14ac:dyDescent="0.2">
      <c r="A19" s="310"/>
      <c r="B19" s="311">
        <v>2023</v>
      </c>
      <c r="C19" s="285" t="s">
        <v>271</v>
      </c>
      <c r="D19" s="312">
        <v>2024</v>
      </c>
      <c r="E19" s="285"/>
      <c r="F19" s="312"/>
      <c r="G19" s="313"/>
      <c r="H19" s="163"/>
    </row>
    <row r="20" spans="1:17" x14ac:dyDescent="0.2">
      <c r="A20" s="244"/>
      <c r="B20" s="245"/>
      <c r="C20" s="245"/>
      <c r="D20" s="246"/>
      <c r="E20" s="247"/>
      <c r="F20" s="243"/>
      <c r="G20" s="248"/>
      <c r="H20" s="163"/>
    </row>
    <row r="21" spans="1:17" x14ac:dyDescent="0.2">
      <c r="A21" s="460" t="s">
        <v>272</v>
      </c>
      <c r="B21" s="461"/>
      <c r="C21" s="461"/>
      <c r="D21" s="461"/>
      <c r="E21" s="249">
        <v>18.835000000000001</v>
      </c>
      <c r="F21" s="245"/>
      <c r="G21" s="248"/>
      <c r="H21" s="161"/>
    </row>
    <row r="22" spans="1:17" x14ac:dyDescent="0.2">
      <c r="A22" s="458" t="s">
        <v>273</v>
      </c>
      <c r="B22" s="459"/>
      <c r="C22" s="459"/>
      <c r="D22" s="459"/>
      <c r="E22" s="249">
        <v>64.590999999999994</v>
      </c>
      <c r="F22" s="245"/>
      <c r="G22" s="248"/>
      <c r="H22" s="163"/>
      <c r="M22" s="5"/>
    </row>
    <row r="23" spans="1:17" x14ac:dyDescent="0.2">
      <c r="A23" s="458" t="s">
        <v>274</v>
      </c>
      <c r="B23" s="459"/>
      <c r="C23" s="459"/>
      <c r="D23" s="459"/>
      <c r="E23" s="345">
        <f>E21+E22</f>
        <v>83.425999999999988</v>
      </c>
      <c r="F23" s="245"/>
      <c r="G23" s="248"/>
      <c r="H23" s="163"/>
      <c r="M23" s="5"/>
    </row>
    <row r="24" spans="1:17" x14ac:dyDescent="0.2">
      <c r="A24" s="462" t="s">
        <v>275</v>
      </c>
      <c r="B24" s="463"/>
      <c r="C24" s="463"/>
      <c r="D24" s="463"/>
      <c r="E24" s="350">
        <v>20710.400000000001</v>
      </c>
      <c r="F24" s="250"/>
      <c r="G24" s="251"/>
      <c r="H24" s="161"/>
    </row>
    <row r="25" spans="1:17" x14ac:dyDescent="0.2">
      <c r="A25" s="1"/>
      <c r="C25" s="2"/>
      <c r="D25" s="73"/>
      <c r="E25" s="128"/>
      <c r="F25" s="128"/>
      <c r="H25" s="165"/>
    </row>
    <row r="26" spans="1:17" ht="12.75" customHeight="1" x14ac:dyDescent="0.2">
      <c r="A26" s="1"/>
      <c r="C26" s="2"/>
      <c r="D26" s="73"/>
      <c r="E26" s="128"/>
      <c r="F26" s="128"/>
      <c r="H26" s="165"/>
    </row>
    <row r="27" spans="1:17" ht="12.75" customHeight="1" x14ac:dyDescent="0.2">
      <c r="A27" s="1"/>
      <c r="C27" s="2"/>
      <c r="D27" s="73"/>
      <c r="E27" s="128"/>
      <c r="F27" s="128"/>
      <c r="H27" s="165"/>
    </row>
    <row r="28" spans="1:17" x14ac:dyDescent="0.2">
      <c r="A28" s="1"/>
      <c r="C28" s="2"/>
      <c r="D28" s="73"/>
      <c r="E28" s="128"/>
      <c r="F28" s="128"/>
      <c r="H28" s="165"/>
    </row>
    <row r="29" spans="1:17" x14ac:dyDescent="0.2">
      <c r="A29" s="1"/>
      <c r="B29" s="5"/>
      <c r="C29" s="2"/>
      <c r="D29" s="73"/>
      <c r="E29" s="128"/>
      <c r="F29" s="128"/>
      <c r="H29" s="165"/>
    </row>
    <row r="30" spans="1:17" ht="20.25" x14ac:dyDescent="0.3">
      <c r="A30" s="453" t="s">
        <v>204</v>
      </c>
      <c r="B30" s="453"/>
      <c r="C30" s="453"/>
      <c r="D30" s="453"/>
    </row>
    <row r="31" spans="1:17" ht="16.5" customHeight="1" x14ac:dyDescent="0.2">
      <c r="B31" s="74"/>
      <c r="C31" s="82"/>
      <c r="K31" s="5"/>
      <c r="L31" s="5"/>
      <c r="M31" s="5"/>
      <c r="N31" s="5"/>
      <c r="O31" s="192"/>
      <c r="P31" s="5"/>
      <c r="Q31" s="5"/>
    </row>
    <row r="32" spans="1:17" ht="13.5" thickBot="1" x14ac:dyDescent="0.25">
      <c r="B32" s="430" t="s">
        <v>265</v>
      </c>
      <c r="C32" s="430"/>
      <c r="K32" s="5"/>
    </row>
    <row r="33" spans="1:17" x14ac:dyDescent="0.2">
      <c r="A33" s="173">
        <f>E41+E42</f>
        <v>279.745</v>
      </c>
      <c r="B33" s="191" t="s">
        <v>266</v>
      </c>
      <c r="C33" s="469" t="s">
        <v>276</v>
      </c>
      <c r="D33" s="469"/>
      <c r="E33" s="469"/>
      <c r="F33" s="469"/>
      <c r="G33" s="470"/>
      <c r="K33" s="160"/>
      <c r="L33" s="160"/>
      <c r="M33" s="160"/>
      <c r="N33" s="160"/>
      <c r="O33" s="160"/>
      <c r="P33" s="160"/>
      <c r="Q33" s="84"/>
    </row>
    <row r="34" spans="1:17" x14ac:dyDescent="0.2">
      <c r="A34" s="176"/>
      <c r="B34" s="197" t="s">
        <v>268</v>
      </c>
      <c r="C34" s="464">
        <f>(E42)/(E44*E44)</f>
        <v>3.6355941325386006E-7</v>
      </c>
      <c r="D34" s="464"/>
      <c r="E34" s="180"/>
      <c r="F34" s="180"/>
      <c r="G34" s="181"/>
    </row>
    <row r="35" spans="1:17" ht="13.5" thickBot="1" x14ac:dyDescent="0.25">
      <c r="A35" s="182"/>
      <c r="B35" s="196" t="s">
        <v>269</v>
      </c>
      <c r="C35" s="465">
        <f>E41</f>
        <v>170.54499999999999</v>
      </c>
      <c r="D35" s="465"/>
      <c r="E35" s="195"/>
      <c r="F35" s="195"/>
      <c r="G35" s="183"/>
      <c r="M35" s="165"/>
    </row>
    <row r="36" spans="1:17" x14ac:dyDescent="0.2">
      <c r="M36" s="166"/>
    </row>
    <row r="37" spans="1:17" x14ac:dyDescent="0.2">
      <c r="C37" s="5"/>
      <c r="M37" s="165"/>
    </row>
    <row r="38" spans="1:17" ht="13.5" thickBot="1" x14ac:dyDescent="0.25">
      <c r="B38" s="452" t="s">
        <v>270</v>
      </c>
      <c r="C38" s="452"/>
      <c r="D38" s="160"/>
      <c r="E38" s="6"/>
      <c r="F38" s="190"/>
      <c r="G38" s="1"/>
      <c r="H38" s="1"/>
      <c r="M38" s="165"/>
    </row>
    <row r="39" spans="1:17" x14ac:dyDescent="0.2">
      <c r="A39" s="314"/>
      <c r="B39" s="334">
        <f>B19</f>
        <v>2023</v>
      </c>
      <c r="C39" s="285" t="s">
        <v>271</v>
      </c>
      <c r="D39" s="334">
        <f>D19</f>
        <v>2024</v>
      </c>
      <c r="E39" s="315"/>
      <c r="F39" s="315"/>
      <c r="G39" s="316"/>
      <c r="H39" s="165"/>
      <c r="I39" s="165"/>
      <c r="M39" s="165"/>
    </row>
    <row r="40" spans="1:17" x14ac:dyDescent="0.2">
      <c r="A40" s="242"/>
      <c r="B40" s="245"/>
      <c r="C40" s="252"/>
      <c r="D40" s="245"/>
      <c r="E40" s="253"/>
      <c r="F40" s="253"/>
      <c r="G40" s="254"/>
      <c r="H40" s="5"/>
      <c r="I40" s="192"/>
      <c r="J40" s="5"/>
      <c r="K40" s="5"/>
      <c r="M40" s="171"/>
    </row>
    <row r="41" spans="1:17" x14ac:dyDescent="0.2">
      <c r="A41" s="458" t="s">
        <v>277</v>
      </c>
      <c r="B41" s="459"/>
      <c r="C41" s="459"/>
      <c r="D41" s="459"/>
      <c r="E41" s="273">
        <v>170.54499999999999</v>
      </c>
      <c r="F41" s="245"/>
      <c r="G41" s="274"/>
      <c r="M41" s="165"/>
    </row>
    <row r="42" spans="1:17" x14ac:dyDescent="0.2">
      <c r="A42" s="458" t="s">
        <v>278</v>
      </c>
      <c r="B42" s="471"/>
      <c r="C42" s="471"/>
      <c r="D42" s="471"/>
      <c r="E42" s="273">
        <v>109.2</v>
      </c>
      <c r="F42" s="273"/>
      <c r="G42" s="275"/>
      <c r="H42" s="1"/>
      <c r="I42" s="160"/>
      <c r="J42" s="160"/>
      <c r="K42" s="84"/>
      <c r="M42" s="165"/>
    </row>
    <row r="43" spans="1:17" x14ac:dyDescent="0.2">
      <c r="A43" s="458" t="s">
        <v>274</v>
      </c>
      <c r="B43" s="459"/>
      <c r="C43" s="459"/>
      <c r="D43" s="459"/>
      <c r="E43" s="346">
        <f>E41+E42</f>
        <v>279.745</v>
      </c>
      <c r="F43" s="273"/>
      <c r="G43" s="275"/>
      <c r="H43" s="1"/>
      <c r="I43" s="160"/>
      <c r="J43" s="160"/>
      <c r="K43" s="84"/>
      <c r="M43" s="165"/>
    </row>
    <row r="44" spans="1:17" ht="15.75" thickBot="1" x14ac:dyDescent="0.3">
      <c r="A44" s="462" t="s">
        <v>279</v>
      </c>
      <c r="B44" s="463"/>
      <c r="C44" s="463"/>
      <c r="D44" s="463"/>
      <c r="E44" s="276">
        <v>17331</v>
      </c>
      <c r="F44" s="250"/>
      <c r="G44" s="277"/>
      <c r="I44" s="172"/>
      <c r="M44" s="165"/>
    </row>
    <row r="45" spans="1:17" ht="15" x14ac:dyDescent="0.25">
      <c r="A45" s="137"/>
      <c r="B45" s="137"/>
      <c r="C45" s="137"/>
      <c r="D45" s="137"/>
      <c r="E45" s="207"/>
      <c r="G45" s="207"/>
      <c r="I45" s="172"/>
      <c r="M45" s="165"/>
    </row>
    <row r="46" spans="1:17" ht="15" x14ac:dyDescent="0.25">
      <c r="A46" s="137"/>
      <c r="B46" s="137"/>
      <c r="C46" s="137"/>
      <c r="D46" s="137"/>
      <c r="E46" s="207"/>
      <c r="G46" s="207"/>
      <c r="I46" s="172"/>
      <c r="M46" s="165"/>
    </row>
    <row r="47" spans="1:17" ht="15" x14ac:dyDescent="0.25">
      <c r="A47" s="137"/>
      <c r="B47" s="137"/>
      <c r="C47" s="137"/>
      <c r="D47" s="137"/>
      <c r="E47" s="207"/>
      <c r="G47" s="207"/>
      <c r="I47" s="172"/>
      <c r="M47" s="165"/>
    </row>
    <row r="48" spans="1:17" x14ac:dyDescent="0.2">
      <c r="C48" s="108"/>
      <c r="M48" s="165"/>
    </row>
    <row r="49" spans="1:13" ht="13.5" thickBot="1" x14ac:dyDescent="0.25">
      <c r="B49" s="452" t="s">
        <v>280</v>
      </c>
      <c r="C49" s="452"/>
      <c r="M49" s="165"/>
    </row>
    <row r="50" spans="1:13" x14ac:dyDescent="0.2">
      <c r="A50" s="473" t="s">
        <v>281</v>
      </c>
      <c r="B50" s="469"/>
      <c r="C50" s="174"/>
      <c r="D50" s="199"/>
      <c r="E50" s="200"/>
      <c r="F50" s="200"/>
      <c r="G50" s="175"/>
      <c r="M50" s="165"/>
    </row>
    <row r="51" spans="1:13" x14ac:dyDescent="0.2">
      <c r="A51" s="184"/>
      <c r="B51" s="177" t="s">
        <v>268</v>
      </c>
      <c r="C51" s="201">
        <v>1.1394000000000001E-6</v>
      </c>
      <c r="D51" s="202"/>
      <c r="E51" s="203"/>
      <c r="F51" s="203"/>
      <c r="G51" s="181"/>
      <c r="M51" s="165"/>
    </row>
    <row r="52" spans="1:13" ht="13.5" thickBot="1" x14ac:dyDescent="0.25">
      <c r="A52" s="182"/>
      <c r="B52" s="179" t="s">
        <v>269</v>
      </c>
      <c r="C52" s="204">
        <v>0</v>
      </c>
      <c r="D52" s="205"/>
      <c r="E52" s="206"/>
      <c r="F52" s="206"/>
      <c r="G52" s="183"/>
      <c r="M52" s="165"/>
    </row>
    <row r="53" spans="1:13" x14ac:dyDescent="0.2">
      <c r="E53" s="129"/>
      <c r="M53" s="165"/>
    </row>
    <row r="54" spans="1:13" ht="13.5" thickBot="1" x14ac:dyDescent="0.25">
      <c r="M54" s="165"/>
    </row>
    <row r="55" spans="1:13" x14ac:dyDescent="0.2">
      <c r="A55" s="473" t="s">
        <v>282</v>
      </c>
      <c r="B55" s="469"/>
      <c r="C55" s="174"/>
      <c r="D55" s="174"/>
      <c r="E55" s="174"/>
      <c r="F55" s="174"/>
      <c r="G55" s="175"/>
      <c r="M55" s="165"/>
    </row>
    <row r="56" spans="1:13" x14ac:dyDescent="0.2">
      <c r="A56" s="184"/>
      <c r="B56" s="177" t="s">
        <v>268</v>
      </c>
      <c r="C56" s="185">
        <v>3.5446000000000001E-7</v>
      </c>
      <c r="D56" s="180"/>
      <c r="E56" s="180"/>
      <c r="F56" s="180"/>
      <c r="G56" s="181"/>
    </row>
    <row r="57" spans="1:13" ht="13.5" thickBot="1" x14ac:dyDescent="0.25">
      <c r="A57" s="182"/>
      <c r="B57" s="179" t="s">
        <v>269</v>
      </c>
      <c r="C57" s="186">
        <v>0</v>
      </c>
      <c r="D57" s="195"/>
      <c r="E57" s="195"/>
      <c r="F57" s="195"/>
      <c r="G57" s="183"/>
    </row>
    <row r="62" spans="1:13" x14ac:dyDescent="0.2">
      <c r="C62" s="472"/>
      <c r="D62" s="472"/>
      <c r="E62" s="472"/>
      <c r="F62" s="472"/>
      <c r="G62" s="472"/>
      <c r="H62" s="472"/>
      <c r="I62" s="472"/>
    </row>
    <row r="65" spans="6:6" x14ac:dyDescent="0.2">
      <c r="F65" s="5"/>
    </row>
    <row r="66" spans="6:6" x14ac:dyDescent="0.2">
      <c r="F66" s="5"/>
    </row>
    <row r="67" spans="6:6" x14ac:dyDescent="0.2">
      <c r="F67" s="5"/>
    </row>
  </sheetData>
  <mergeCells count="28">
    <mergeCell ref="A42:D42"/>
    <mergeCell ref="A41:D41"/>
    <mergeCell ref="A44:D44"/>
    <mergeCell ref="C62:I62"/>
    <mergeCell ref="A50:B50"/>
    <mergeCell ref="B49:C49"/>
    <mergeCell ref="A55:B55"/>
    <mergeCell ref="A43:D43"/>
    <mergeCell ref="A1:E1"/>
    <mergeCell ref="C6:E6"/>
    <mergeCell ref="B12:C12"/>
    <mergeCell ref="C13:G13"/>
    <mergeCell ref="C33:G33"/>
    <mergeCell ref="A23:D23"/>
    <mergeCell ref="L2:O2"/>
    <mergeCell ref="L3:O3"/>
    <mergeCell ref="B38:C38"/>
    <mergeCell ref="A10:D10"/>
    <mergeCell ref="C15:G15"/>
    <mergeCell ref="C14:G14"/>
    <mergeCell ref="A22:D22"/>
    <mergeCell ref="A21:D21"/>
    <mergeCell ref="A24:D24"/>
    <mergeCell ref="B18:C18"/>
    <mergeCell ref="A30:D30"/>
    <mergeCell ref="B32:C32"/>
    <mergeCell ref="C34:D34"/>
    <mergeCell ref="C35:D35"/>
  </mergeCells>
  <phoneticPr fontId="13" type="noConversion"/>
  <pageMargins left="0.25" right="0.25" top="0.75" bottom="0.75" header="0" footer="0"/>
  <pageSetup scale="9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53"/>
  <sheetViews>
    <sheetView topLeftCell="B1" zoomScale="75" workbookViewId="0">
      <selection activeCell="D1" sqref="D1"/>
    </sheetView>
  </sheetViews>
  <sheetFormatPr defaultRowHeight="12.75" x14ac:dyDescent="0.2"/>
  <cols>
    <col min="1" max="1" width="4.42578125" customWidth="1"/>
    <col min="2" max="7" width="15.7109375" style="2" customWidth="1"/>
    <col min="8" max="8" width="15.85546875" style="2" customWidth="1"/>
    <col min="9" max="10" width="15.7109375" style="2" customWidth="1"/>
    <col min="11" max="11" width="13.28515625" style="2" customWidth="1"/>
    <col min="12" max="12" width="15.28515625" style="2" customWidth="1"/>
    <col min="13" max="13" width="13" style="2" customWidth="1"/>
    <col min="14" max="14" width="13.28515625" style="2" customWidth="1"/>
    <col min="15" max="15" width="15.28515625" style="2" customWidth="1"/>
    <col min="16" max="16" width="13.28515625" style="2" customWidth="1"/>
    <col min="17" max="17" width="13.140625" style="2" customWidth="1"/>
    <col min="18" max="19" width="13.28515625" style="2" customWidth="1"/>
    <col min="20" max="20" width="14.28515625" style="2" customWidth="1"/>
  </cols>
  <sheetData>
    <row r="1" spans="1:20" x14ac:dyDescent="0.2">
      <c r="A1" s="1" t="s">
        <v>137</v>
      </c>
      <c r="B1" s="6"/>
      <c r="C1" s="6"/>
      <c r="D1" s="6" t="s">
        <v>126</v>
      </c>
      <c r="F1" s="37" t="s">
        <v>119</v>
      </c>
      <c r="K1" s="6"/>
      <c r="M1" s="6" t="s">
        <v>138</v>
      </c>
      <c r="N1" s="25">
        <v>0</v>
      </c>
      <c r="O1" s="6" t="s">
        <v>138</v>
      </c>
      <c r="P1" s="6">
        <v>0.8</v>
      </c>
      <c r="Q1" s="6" t="s">
        <v>138</v>
      </c>
      <c r="R1" s="25">
        <v>1</v>
      </c>
      <c r="S1" s="25"/>
      <c r="T1" s="25"/>
    </row>
    <row r="2" spans="1:20" x14ac:dyDescent="0.2">
      <c r="A2" s="7"/>
      <c r="B2" s="8"/>
      <c r="C2" s="8"/>
      <c r="D2" s="9" t="s">
        <v>139</v>
      </c>
      <c r="E2" s="9"/>
      <c r="F2" s="9"/>
      <c r="G2" s="9"/>
      <c r="H2" s="9"/>
      <c r="I2" s="9"/>
      <c r="J2" s="9"/>
      <c r="K2" s="8"/>
      <c r="L2" s="9" t="s">
        <v>140</v>
      </c>
      <c r="M2" s="9"/>
      <c r="N2" s="24" t="s">
        <v>141</v>
      </c>
      <c r="O2" s="9" t="s">
        <v>140</v>
      </c>
      <c r="P2" s="24" t="s">
        <v>142</v>
      </c>
      <c r="Q2" s="9" t="s">
        <v>140</v>
      </c>
      <c r="R2" s="24" t="s">
        <v>142</v>
      </c>
      <c r="S2" s="24" t="s">
        <v>143</v>
      </c>
      <c r="T2" s="9" t="s">
        <v>140</v>
      </c>
    </row>
    <row r="3" spans="1:20" x14ac:dyDescent="0.2">
      <c r="A3" s="10"/>
      <c r="B3" s="11" t="s">
        <v>144</v>
      </c>
      <c r="C3" s="11" t="s">
        <v>145</v>
      </c>
      <c r="D3" s="12" t="s">
        <v>146</v>
      </c>
      <c r="E3" s="12" t="s">
        <v>147</v>
      </c>
      <c r="F3" s="12" t="s">
        <v>148</v>
      </c>
      <c r="G3" s="12" t="s">
        <v>149</v>
      </c>
      <c r="H3" s="12" t="s">
        <v>150</v>
      </c>
      <c r="I3" s="12" t="s">
        <v>151</v>
      </c>
      <c r="J3" s="22" t="s">
        <v>132</v>
      </c>
      <c r="K3" s="11" t="s">
        <v>141</v>
      </c>
      <c r="L3" s="12" t="s">
        <v>152</v>
      </c>
      <c r="M3" s="22" t="s">
        <v>132</v>
      </c>
      <c r="N3" s="11" t="s">
        <v>153</v>
      </c>
      <c r="O3" s="12" t="s">
        <v>154</v>
      </c>
      <c r="P3" s="11" t="s">
        <v>155</v>
      </c>
      <c r="Q3" s="12" t="s">
        <v>156</v>
      </c>
      <c r="R3" s="11" t="s">
        <v>157</v>
      </c>
      <c r="S3" s="11" t="s">
        <v>158</v>
      </c>
      <c r="T3" s="26" t="s">
        <v>156</v>
      </c>
    </row>
    <row r="4" spans="1:20" x14ac:dyDescent="0.2">
      <c r="A4" s="13"/>
      <c r="B4" s="14" t="s">
        <v>133</v>
      </c>
      <c r="C4" s="14" t="s">
        <v>133</v>
      </c>
      <c r="D4" s="14" t="s">
        <v>133</v>
      </c>
      <c r="E4" s="14" t="s">
        <v>133</v>
      </c>
      <c r="F4" s="14" t="s">
        <v>133</v>
      </c>
      <c r="G4" s="14" t="s">
        <v>133</v>
      </c>
      <c r="H4" s="14" t="s">
        <v>133</v>
      </c>
      <c r="I4" s="14" t="s">
        <v>133</v>
      </c>
      <c r="J4" s="23" t="s">
        <v>133</v>
      </c>
      <c r="K4" s="14" t="s">
        <v>133</v>
      </c>
      <c r="L4" s="14" t="s">
        <v>133</v>
      </c>
      <c r="M4" s="23" t="s">
        <v>134</v>
      </c>
      <c r="N4" s="14" t="s">
        <v>134</v>
      </c>
      <c r="O4" s="14" t="s">
        <v>134</v>
      </c>
      <c r="P4" s="14" t="s">
        <v>134</v>
      </c>
      <c r="Q4" s="14" t="s">
        <v>134</v>
      </c>
      <c r="R4" s="14" t="s">
        <v>134</v>
      </c>
      <c r="S4" s="14" t="s">
        <v>133</v>
      </c>
      <c r="T4" s="14" t="s">
        <v>133</v>
      </c>
    </row>
    <row r="5" spans="1:20" x14ac:dyDescent="0.2">
      <c r="A5" s="5">
        <v>1</v>
      </c>
      <c r="B5" s="2">
        <v>2400</v>
      </c>
      <c r="C5" s="4" t="e">
        <f>$B$36+$C$36*B5*B5</f>
        <v>#REF!</v>
      </c>
      <c r="D5" s="4" t="e">
        <f t="shared" ref="D5:D31" si="0">+B5-C5</f>
        <v>#REF!</v>
      </c>
      <c r="E5" s="4" t="e">
        <f>$E$36*D5*D5</f>
        <v>#REF!</v>
      </c>
      <c r="F5" s="4" t="e">
        <f t="shared" ref="F5:F31" si="1">+D5-E5</f>
        <v>#REF!</v>
      </c>
      <c r="G5" s="4" t="e">
        <f>$F$36+$G$36*F5*F5</f>
        <v>#REF!</v>
      </c>
      <c r="H5" s="4" t="e">
        <f t="shared" ref="H5:H31" si="2">+F5-G5</f>
        <v>#REF!</v>
      </c>
      <c r="I5" s="4" t="e">
        <f>$I$36*H5*H5</f>
        <v>#REF!</v>
      </c>
      <c r="J5" s="15" t="e">
        <f t="shared" ref="J5:J31" si="3">+C5+E5+G5+I5</f>
        <v>#REF!</v>
      </c>
      <c r="K5" s="15" t="e">
        <f t="shared" ref="K5:K17" si="4">+B5/$B$18*$J$18</f>
        <v>#REF!</v>
      </c>
      <c r="L5" s="4" t="e">
        <f t="shared" ref="L5:L31" si="5">+J5-K5</f>
        <v>#REF!</v>
      </c>
      <c r="M5" s="17" t="e">
        <f t="shared" ref="M5:M31" si="6">+J5/B5</f>
        <v>#REF!</v>
      </c>
      <c r="N5" s="17" t="e">
        <f t="shared" ref="N5:N31" si="7">+B5/$B$18*$M$18</f>
        <v>#REF!</v>
      </c>
      <c r="O5" s="20" t="e">
        <f>+M5-N5</f>
        <v>#REF!</v>
      </c>
      <c r="P5" s="17" t="e">
        <f t="shared" ref="P5:P31" si="8">+$M$18*($P$1+(1-$P$1)*(B5/$B$18))</f>
        <v>#REF!</v>
      </c>
      <c r="Q5" s="20" t="e">
        <f>+M5-P5</f>
        <v>#REF!</v>
      </c>
      <c r="R5" s="17" t="e">
        <f t="shared" ref="R5:R31" si="9">+$M$18*($R$1+(1-$R$1)*(B5/$B$18))</f>
        <v>#REF!</v>
      </c>
      <c r="S5" s="15" t="e">
        <f>+P5*B5</f>
        <v>#REF!</v>
      </c>
      <c r="T5" s="4" t="e">
        <f t="shared" ref="T5:T31" si="10">+J5-S5</f>
        <v>#REF!</v>
      </c>
    </row>
    <row r="6" spans="1:20" x14ac:dyDescent="0.2">
      <c r="A6">
        <f t="shared" ref="A6:A31" si="11">1+A5</f>
        <v>2</v>
      </c>
      <c r="B6" s="2">
        <f t="shared" ref="B6:B31" si="12">+B5+$B$33</f>
        <v>2800</v>
      </c>
      <c r="C6" s="4" t="e">
        <f>$B$36+$C$36*B6*B6</f>
        <v>#REF!</v>
      </c>
      <c r="D6" s="4" t="e">
        <f t="shared" si="0"/>
        <v>#REF!</v>
      </c>
      <c r="E6" s="4" t="e">
        <f>$E$36*D6*D6</f>
        <v>#REF!</v>
      </c>
      <c r="F6" s="4" t="e">
        <f t="shared" si="1"/>
        <v>#REF!</v>
      </c>
      <c r="G6" s="4" t="e">
        <f>$F$36+$G$36*F6*F6</f>
        <v>#REF!</v>
      </c>
      <c r="H6" s="4" t="e">
        <f t="shared" si="2"/>
        <v>#REF!</v>
      </c>
      <c r="I6" s="4" t="e">
        <f>$I$36*H6*H6</f>
        <v>#REF!</v>
      </c>
      <c r="J6" s="4" t="e">
        <f t="shared" si="3"/>
        <v>#REF!</v>
      </c>
      <c r="K6" s="15" t="e">
        <f t="shared" si="4"/>
        <v>#REF!</v>
      </c>
      <c r="L6" s="4" t="e">
        <f t="shared" si="5"/>
        <v>#REF!</v>
      </c>
      <c r="M6" s="17" t="e">
        <f t="shared" si="6"/>
        <v>#REF!</v>
      </c>
      <c r="N6" s="17" t="e">
        <f t="shared" si="7"/>
        <v>#REF!</v>
      </c>
      <c r="O6" s="20" t="e">
        <f t="shared" ref="O6:O31" si="13">+M6-N6</f>
        <v>#REF!</v>
      </c>
      <c r="P6" s="17" t="e">
        <f t="shared" si="8"/>
        <v>#REF!</v>
      </c>
      <c r="Q6" s="20" t="e">
        <f t="shared" ref="Q6:Q31" si="14">+M6-P6</f>
        <v>#REF!</v>
      </c>
      <c r="R6" s="17" t="e">
        <f t="shared" si="9"/>
        <v>#REF!</v>
      </c>
      <c r="S6" s="15" t="e">
        <f t="shared" ref="S6:S31" si="15">+P6*B6</f>
        <v>#REF!</v>
      </c>
      <c r="T6" s="4" t="e">
        <f t="shared" si="10"/>
        <v>#REF!</v>
      </c>
    </row>
    <row r="7" spans="1:20" x14ac:dyDescent="0.2">
      <c r="A7">
        <f t="shared" si="11"/>
        <v>3</v>
      </c>
      <c r="B7" s="2">
        <f t="shared" si="12"/>
        <v>3200</v>
      </c>
      <c r="C7" s="4" t="e">
        <f t="shared" ref="C7:C31" si="16">$B$36+$C$36*B7*B7</f>
        <v>#REF!</v>
      </c>
      <c r="D7" s="4" t="e">
        <f t="shared" si="0"/>
        <v>#REF!</v>
      </c>
      <c r="E7" s="4" t="e">
        <f t="shared" ref="E7:E31" si="17">$E$36*D7*D7</f>
        <v>#REF!</v>
      </c>
      <c r="F7" s="4" t="e">
        <f t="shared" si="1"/>
        <v>#REF!</v>
      </c>
      <c r="G7" s="4" t="e">
        <f t="shared" ref="G7:G31" si="18">$F$36+$G$36*F7*F7</f>
        <v>#REF!</v>
      </c>
      <c r="H7" s="4" t="e">
        <f t="shared" si="2"/>
        <v>#REF!</v>
      </c>
      <c r="I7" s="4" t="e">
        <f t="shared" ref="I7:I31" si="19">$I$36*H7*H7</f>
        <v>#REF!</v>
      </c>
      <c r="J7" s="4" t="e">
        <f t="shared" si="3"/>
        <v>#REF!</v>
      </c>
      <c r="K7" s="15" t="e">
        <f t="shared" si="4"/>
        <v>#REF!</v>
      </c>
      <c r="L7" s="4" t="e">
        <f t="shared" si="5"/>
        <v>#REF!</v>
      </c>
      <c r="M7" s="17" t="e">
        <f t="shared" si="6"/>
        <v>#REF!</v>
      </c>
      <c r="N7" s="17" t="e">
        <f t="shared" si="7"/>
        <v>#REF!</v>
      </c>
      <c r="O7" s="20" t="e">
        <f t="shared" si="13"/>
        <v>#REF!</v>
      </c>
      <c r="P7" s="17" t="e">
        <f t="shared" si="8"/>
        <v>#REF!</v>
      </c>
      <c r="Q7" s="20" t="e">
        <f t="shared" si="14"/>
        <v>#REF!</v>
      </c>
      <c r="R7" s="17" t="e">
        <f t="shared" si="9"/>
        <v>#REF!</v>
      </c>
      <c r="S7" s="15" t="e">
        <f t="shared" si="15"/>
        <v>#REF!</v>
      </c>
      <c r="T7" s="4" t="e">
        <f t="shared" si="10"/>
        <v>#REF!</v>
      </c>
    </row>
    <row r="8" spans="1:20" x14ac:dyDescent="0.2">
      <c r="A8">
        <f t="shared" si="11"/>
        <v>4</v>
      </c>
      <c r="B8" s="2">
        <f t="shared" si="12"/>
        <v>3600</v>
      </c>
      <c r="C8" s="4" t="e">
        <f t="shared" si="16"/>
        <v>#REF!</v>
      </c>
      <c r="D8" s="4" t="e">
        <f t="shared" si="0"/>
        <v>#REF!</v>
      </c>
      <c r="E8" s="4" t="e">
        <f t="shared" si="17"/>
        <v>#REF!</v>
      </c>
      <c r="F8" s="4" t="e">
        <f t="shared" si="1"/>
        <v>#REF!</v>
      </c>
      <c r="G8" s="4" t="e">
        <f t="shared" si="18"/>
        <v>#REF!</v>
      </c>
      <c r="H8" s="4" t="e">
        <f t="shared" si="2"/>
        <v>#REF!</v>
      </c>
      <c r="I8" s="4" t="e">
        <f t="shared" si="19"/>
        <v>#REF!</v>
      </c>
      <c r="J8" s="4" t="e">
        <f t="shared" si="3"/>
        <v>#REF!</v>
      </c>
      <c r="K8" s="15" t="e">
        <f t="shared" si="4"/>
        <v>#REF!</v>
      </c>
      <c r="L8" s="4" t="e">
        <f t="shared" si="5"/>
        <v>#REF!</v>
      </c>
      <c r="M8" s="17" t="e">
        <f t="shared" si="6"/>
        <v>#REF!</v>
      </c>
      <c r="N8" s="17" t="e">
        <f t="shared" si="7"/>
        <v>#REF!</v>
      </c>
      <c r="O8" s="20" t="e">
        <f t="shared" si="13"/>
        <v>#REF!</v>
      </c>
      <c r="P8" s="17" t="e">
        <f t="shared" si="8"/>
        <v>#REF!</v>
      </c>
      <c r="Q8" s="20" t="e">
        <f t="shared" si="14"/>
        <v>#REF!</v>
      </c>
      <c r="R8" s="17" t="e">
        <f t="shared" si="9"/>
        <v>#REF!</v>
      </c>
      <c r="S8" s="15" t="e">
        <f t="shared" si="15"/>
        <v>#REF!</v>
      </c>
      <c r="T8" s="4" t="e">
        <f t="shared" si="10"/>
        <v>#REF!</v>
      </c>
    </row>
    <row r="9" spans="1:20" x14ac:dyDescent="0.2">
      <c r="A9">
        <f t="shared" si="11"/>
        <v>5</v>
      </c>
      <c r="B9" s="2">
        <f t="shared" si="12"/>
        <v>4000</v>
      </c>
      <c r="C9" s="4" t="e">
        <f t="shared" si="16"/>
        <v>#REF!</v>
      </c>
      <c r="D9" s="4" t="e">
        <f t="shared" si="0"/>
        <v>#REF!</v>
      </c>
      <c r="E9" s="4" t="e">
        <f t="shared" si="17"/>
        <v>#REF!</v>
      </c>
      <c r="F9" s="4" t="e">
        <f t="shared" si="1"/>
        <v>#REF!</v>
      </c>
      <c r="G9" s="4" t="e">
        <f t="shared" si="18"/>
        <v>#REF!</v>
      </c>
      <c r="H9" s="4" t="e">
        <f t="shared" si="2"/>
        <v>#REF!</v>
      </c>
      <c r="I9" s="4" t="e">
        <f t="shared" si="19"/>
        <v>#REF!</v>
      </c>
      <c r="J9" s="4" t="e">
        <f t="shared" si="3"/>
        <v>#REF!</v>
      </c>
      <c r="K9" s="15" t="e">
        <f t="shared" si="4"/>
        <v>#REF!</v>
      </c>
      <c r="L9" s="4" t="e">
        <f t="shared" si="5"/>
        <v>#REF!</v>
      </c>
      <c r="M9" s="17" t="e">
        <f t="shared" si="6"/>
        <v>#REF!</v>
      </c>
      <c r="N9" s="17" t="e">
        <f t="shared" si="7"/>
        <v>#REF!</v>
      </c>
      <c r="O9" s="20" t="e">
        <f t="shared" si="13"/>
        <v>#REF!</v>
      </c>
      <c r="P9" s="17" t="e">
        <f t="shared" si="8"/>
        <v>#REF!</v>
      </c>
      <c r="Q9" s="20" t="e">
        <f t="shared" si="14"/>
        <v>#REF!</v>
      </c>
      <c r="R9" s="17" t="e">
        <f t="shared" si="9"/>
        <v>#REF!</v>
      </c>
      <c r="S9" s="15" t="e">
        <f t="shared" si="15"/>
        <v>#REF!</v>
      </c>
      <c r="T9" s="4" t="e">
        <f t="shared" si="10"/>
        <v>#REF!</v>
      </c>
    </row>
    <row r="10" spans="1:20" x14ac:dyDescent="0.2">
      <c r="A10">
        <f t="shared" si="11"/>
        <v>6</v>
      </c>
      <c r="B10" s="2">
        <f t="shared" si="12"/>
        <v>4400</v>
      </c>
      <c r="C10" s="4" t="e">
        <f t="shared" si="16"/>
        <v>#REF!</v>
      </c>
      <c r="D10" s="4" t="e">
        <f t="shared" si="0"/>
        <v>#REF!</v>
      </c>
      <c r="E10" s="4" t="e">
        <f t="shared" si="17"/>
        <v>#REF!</v>
      </c>
      <c r="F10" s="4" t="e">
        <f t="shared" si="1"/>
        <v>#REF!</v>
      </c>
      <c r="G10" s="4" t="e">
        <f t="shared" si="18"/>
        <v>#REF!</v>
      </c>
      <c r="H10" s="4" t="e">
        <f t="shared" si="2"/>
        <v>#REF!</v>
      </c>
      <c r="I10" s="4" t="e">
        <f t="shared" si="19"/>
        <v>#REF!</v>
      </c>
      <c r="J10" s="4" t="e">
        <f t="shared" si="3"/>
        <v>#REF!</v>
      </c>
      <c r="K10" s="15" t="e">
        <f t="shared" si="4"/>
        <v>#REF!</v>
      </c>
      <c r="L10" s="4" t="e">
        <f t="shared" si="5"/>
        <v>#REF!</v>
      </c>
      <c r="M10" s="17" t="e">
        <f t="shared" si="6"/>
        <v>#REF!</v>
      </c>
      <c r="N10" s="17" t="e">
        <f t="shared" si="7"/>
        <v>#REF!</v>
      </c>
      <c r="O10" s="20" t="e">
        <f t="shared" si="13"/>
        <v>#REF!</v>
      </c>
      <c r="P10" s="17" t="e">
        <f t="shared" si="8"/>
        <v>#REF!</v>
      </c>
      <c r="Q10" s="20" t="e">
        <f t="shared" si="14"/>
        <v>#REF!</v>
      </c>
      <c r="R10" s="17" t="e">
        <f t="shared" si="9"/>
        <v>#REF!</v>
      </c>
      <c r="S10" s="15" t="e">
        <f t="shared" si="15"/>
        <v>#REF!</v>
      </c>
      <c r="T10" s="4" t="e">
        <f t="shared" si="10"/>
        <v>#REF!</v>
      </c>
    </row>
    <row r="11" spans="1:20" x14ac:dyDescent="0.2">
      <c r="A11">
        <f t="shared" si="11"/>
        <v>7</v>
      </c>
      <c r="B11" s="2">
        <f t="shared" si="12"/>
        <v>4800</v>
      </c>
      <c r="C11" s="4" t="e">
        <f t="shared" si="16"/>
        <v>#REF!</v>
      </c>
      <c r="D11" s="4" t="e">
        <f t="shared" si="0"/>
        <v>#REF!</v>
      </c>
      <c r="E11" s="4" t="e">
        <f t="shared" si="17"/>
        <v>#REF!</v>
      </c>
      <c r="F11" s="4" t="e">
        <f t="shared" si="1"/>
        <v>#REF!</v>
      </c>
      <c r="G11" s="4" t="e">
        <f t="shared" si="18"/>
        <v>#REF!</v>
      </c>
      <c r="H11" s="4" t="e">
        <f t="shared" si="2"/>
        <v>#REF!</v>
      </c>
      <c r="I11" s="4" t="e">
        <f t="shared" si="19"/>
        <v>#REF!</v>
      </c>
      <c r="J11" s="4" t="e">
        <f t="shared" si="3"/>
        <v>#REF!</v>
      </c>
      <c r="K11" s="15" t="e">
        <f t="shared" si="4"/>
        <v>#REF!</v>
      </c>
      <c r="L11" s="4" t="e">
        <f t="shared" si="5"/>
        <v>#REF!</v>
      </c>
      <c r="M11" s="17" t="e">
        <f t="shared" si="6"/>
        <v>#REF!</v>
      </c>
      <c r="N11" s="17" t="e">
        <f t="shared" si="7"/>
        <v>#REF!</v>
      </c>
      <c r="O11" s="20" t="e">
        <f t="shared" si="13"/>
        <v>#REF!</v>
      </c>
      <c r="P11" s="17" t="e">
        <f t="shared" si="8"/>
        <v>#REF!</v>
      </c>
      <c r="Q11" s="20" t="e">
        <f t="shared" si="14"/>
        <v>#REF!</v>
      </c>
      <c r="R11" s="17" t="e">
        <f t="shared" si="9"/>
        <v>#REF!</v>
      </c>
      <c r="S11" s="15" t="e">
        <f t="shared" si="15"/>
        <v>#REF!</v>
      </c>
      <c r="T11" s="4" t="e">
        <f t="shared" si="10"/>
        <v>#REF!</v>
      </c>
    </row>
    <row r="12" spans="1:20" x14ac:dyDescent="0.2">
      <c r="A12">
        <f t="shared" si="11"/>
        <v>8</v>
      </c>
      <c r="B12" s="2">
        <f t="shared" si="12"/>
        <v>5200</v>
      </c>
      <c r="C12" s="4" t="e">
        <f t="shared" si="16"/>
        <v>#REF!</v>
      </c>
      <c r="D12" s="4" t="e">
        <f t="shared" si="0"/>
        <v>#REF!</v>
      </c>
      <c r="E12" s="4" t="e">
        <f t="shared" si="17"/>
        <v>#REF!</v>
      </c>
      <c r="F12" s="4" t="e">
        <f t="shared" si="1"/>
        <v>#REF!</v>
      </c>
      <c r="G12" s="4" t="e">
        <f t="shared" si="18"/>
        <v>#REF!</v>
      </c>
      <c r="H12" s="4" t="e">
        <f t="shared" si="2"/>
        <v>#REF!</v>
      </c>
      <c r="I12" s="4" t="e">
        <f t="shared" si="19"/>
        <v>#REF!</v>
      </c>
      <c r="J12" s="4" t="e">
        <f t="shared" si="3"/>
        <v>#REF!</v>
      </c>
      <c r="K12" s="15" t="e">
        <f t="shared" si="4"/>
        <v>#REF!</v>
      </c>
      <c r="L12" s="4" t="e">
        <f t="shared" si="5"/>
        <v>#REF!</v>
      </c>
      <c r="M12" s="17" t="e">
        <f t="shared" si="6"/>
        <v>#REF!</v>
      </c>
      <c r="N12" s="17" t="e">
        <f t="shared" si="7"/>
        <v>#REF!</v>
      </c>
      <c r="O12" s="20" t="e">
        <f t="shared" si="13"/>
        <v>#REF!</v>
      </c>
      <c r="P12" s="17" t="e">
        <f t="shared" si="8"/>
        <v>#REF!</v>
      </c>
      <c r="Q12" s="20" t="e">
        <f t="shared" si="14"/>
        <v>#REF!</v>
      </c>
      <c r="R12" s="17" t="e">
        <f t="shared" si="9"/>
        <v>#REF!</v>
      </c>
      <c r="S12" s="15" t="e">
        <f t="shared" si="15"/>
        <v>#REF!</v>
      </c>
      <c r="T12" s="4" t="e">
        <f t="shared" si="10"/>
        <v>#REF!</v>
      </c>
    </row>
    <row r="13" spans="1:20" x14ac:dyDescent="0.2">
      <c r="A13">
        <f t="shared" si="11"/>
        <v>9</v>
      </c>
      <c r="B13" s="2">
        <f t="shared" si="12"/>
        <v>5600</v>
      </c>
      <c r="C13" s="4" t="e">
        <f t="shared" si="16"/>
        <v>#REF!</v>
      </c>
      <c r="D13" s="4" t="e">
        <f t="shared" si="0"/>
        <v>#REF!</v>
      </c>
      <c r="E13" s="4" t="e">
        <f t="shared" si="17"/>
        <v>#REF!</v>
      </c>
      <c r="F13" s="4" t="e">
        <f t="shared" si="1"/>
        <v>#REF!</v>
      </c>
      <c r="G13" s="4" t="e">
        <f t="shared" si="18"/>
        <v>#REF!</v>
      </c>
      <c r="H13" s="4" t="e">
        <f t="shared" si="2"/>
        <v>#REF!</v>
      </c>
      <c r="I13" s="4" t="e">
        <f t="shared" si="19"/>
        <v>#REF!</v>
      </c>
      <c r="J13" s="4" t="e">
        <f t="shared" si="3"/>
        <v>#REF!</v>
      </c>
      <c r="K13" s="15" t="e">
        <f t="shared" si="4"/>
        <v>#REF!</v>
      </c>
      <c r="L13" s="4" t="e">
        <f t="shared" si="5"/>
        <v>#REF!</v>
      </c>
      <c r="M13" s="17" t="e">
        <f t="shared" si="6"/>
        <v>#REF!</v>
      </c>
      <c r="N13" s="17" t="e">
        <f t="shared" si="7"/>
        <v>#REF!</v>
      </c>
      <c r="O13" s="20" t="e">
        <f t="shared" si="13"/>
        <v>#REF!</v>
      </c>
      <c r="P13" s="17" t="e">
        <f t="shared" si="8"/>
        <v>#REF!</v>
      </c>
      <c r="Q13" s="20" t="e">
        <f t="shared" si="14"/>
        <v>#REF!</v>
      </c>
      <c r="R13" s="17" t="e">
        <f t="shared" si="9"/>
        <v>#REF!</v>
      </c>
      <c r="S13" s="15" t="e">
        <f t="shared" si="15"/>
        <v>#REF!</v>
      </c>
      <c r="T13" s="4" t="e">
        <f t="shared" si="10"/>
        <v>#REF!</v>
      </c>
    </row>
    <row r="14" spans="1:20" x14ac:dyDescent="0.2">
      <c r="A14">
        <f t="shared" si="11"/>
        <v>10</v>
      </c>
      <c r="B14" s="2">
        <f t="shared" si="12"/>
        <v>6000</v>
      </c>
      <c r="C14" s="4" t="e">
        <f t="shared" si="16"/>
        <v>#REF!</v>
      </c>
      <c r="D14" s="4" t="e">
        <f t="shared" si="0"/>
        <v>#REF!</v>
      </c>
      <c r="E14" s="4" t="e">
        <f t="shared" si="17"/>
        <v>#REF!</v>
      </c>
      <c r="F14" s="4" t="e">
        <f t="shared" si="1"/>
        <v>#REF!</v>
      </c>
      <c r="G14" s="4" t="e">
        <f t="shared" si="18"/>
        <v>#REF!</v>
      </c>
      <c r="H14" s="4" t="e">
        <f t="shared" si="2"/>
        <v>#REF!</v>
      </c>
      <c r="I14" s="4" t="e">
        <f t="shared" si="19"/>
        <v>#REF!</v>
      </c>
      <c r="J14" s="4" t="e">
        <f t="shared" si="3"/>
        <v>#REF!</v>
      </c>
      <c r="K14" s="15" t="e">
        <f t="shared" si="4"/>
        <v>#REF!</v>
      </c>
      <c r="L14" s="4" t="e">
        <f t="shared" si="5"/>
        <v>#REF!</v>
      </c>
      <c r="M14" s="17" t="e">
        <f t="shared" si="6"/>
        <v>#REF!</v>
      </c>
      <c r="N14" s="17" t="e">
        <f t="shared" si="7"/>
        <v>#REF!</v>
      </c>
      <c r="O14" s="20" t="e">
        <f t="shared" si="13"/>
        <v>#REF!</v>
      </c>
      <c r="P14" s="17" t="e">
        <f t="shared" si="8"/>
        <v>#REF!</v>
      </c>
      <c r="Q14" s="20" t="e">
        <f t="shared" si="14"/>
        <v>#REF!</v>
      </c>
      <c r="R14" s="17" t="e">
        <f t="shared" si="9"/>
        <v>#REF!</v>
      </c>
      <c r="S14" s="15" t="e">
        <f t="shared" si="15"/>
        <v>#REF!</v>
      </c>
      <c r="T14" s="4" t="e">
        <f t="shared" si="10"/>
        <v>#REF!</v>
      </c>
    </row>
    <row r="15" spans="1:20" x14ac:dyDescent="0.2">
      <c r="A15">
        <f t="shared" si="11"/>
        <v>11</v>
      </c>
      <c r="B15" s="2">
        <f t="shared" si="12"/>
        <v>6400</v>
      </c>
      <c r="C15" s="4" t="e">
        <f t="shared" si="16"/>
        <v>#REF!</v>
      </c>
      <c r="D15" s="4" t="e">
        <f t="shared" si="0"/>
        <v>#REF!</v>
      </c>
      <c r="E15" s="4" t="e">
        <f t="shared" si="17"/>
        <v>#REF!</v>
      </c>
      <c r="F15" s="4" t="e">
        <f t="shared" si="1"/>
        <v>#REF!</v>
      </c>
      <c r="G15" s="4" t="e">
        <f t="shared" si="18"/>
        <v>#REF!</v>
      </c>
      <c r="H15" s="4" t="e">
        <f t="shared" si="2"/>
        <v>#REF!</v>
      </c>
      <c r="I15" s="4" t="e">
        <f t="shared" si="19"/>
        <v>#REF!</v>
      </c>
      <c r="J15" s="4" t="e">
        <f t="shared" si="3"/>
        <v>#REF!</v>
      </c>
      <c r="K15" s="15" t="e">
        <f t="shared" si="4"/>
        <v>#REF!</v>
      </c>
      <c r="L15" s="4" t="e">
        <f t="shared" si="5"/>
        <v>#REF!</v>
      </c>
      <c r="M15" s="17" t="e">
        <f t="shared" si="6"/>
        <v>#REF!</v>
      </c>
      <c r="N15" s="17" t="e">
        <f t="shared" si="7"/>
        <v>#REF!</v>
      </c>
      <c r="O15" s="20" t="e">
        <f t="shared" si="13"/>
        <v>#REF!</v>
      </c>
      <c r="P15" s="17" t="e">
        <f t="shared" si="8"/>
        <v>#REF!</v>
      </c>
      <c r="Q15" s="20" t="e">
        <f t="shared" si="14"/>
        <v>#REF!</v>
      </c>
      <c r="R15" s="17" t="e">
        <f t="shared" si="9"/>
        <v>#REF!</v>
      </c>
      <c r="S15" s="15" t="e">
        <f t="shared" si="15"/>
        <v>#REF!</v>
      </c>
      <c r="T15" s="4" t="e">
        <f t="shared" si="10"/>
        <v>#REF!</v>
      </c>
    </row>
    <row r="16" spans="1:20" x14ac:dyDescent="0.2">
      <c r="A16">
        <f t="shared" si="11"/>
        <v>12</v>
      </c>
      <c r="B16" s="2">
        <f t="shared" si="12"/>
        <v>6800</v>
      </c>
      <c r="C16" s="4" t="e">
        <f t="shared" si="16"/>
        <v>#REF!</v>
      </c>
      <c r="D16" s="4" t="e">
        <f t="shared" si="0"/>
        <v>#REF!</v>
      </c>
      <c r="E16" s="4" t="e">
        <f t="shared" si="17"/>
        <v>#REF!</v>
      </c>
      <c r="F16" s="4" t="e">
        <f t="shared" si="1"/>
        <v>#REF!</v>
      </c>
      <c r="G16" s="4" t="e">
        <f t="shared" si="18"/>
        <v>#REF!</v>
      </c>
      <c r="H16" s="4" t="e">
        <f t="shared" si="2"/>
        <v>#REF!</v>
      </c>
      <c r="I16" s="4" t="e">
        <f t="shared" si="19"/>
        <v>#REF!</v>
      </c>
      <c r="J16" s="4" t="e">
        <f t="shared" si="3"/>
        <v>#REF!</v>
      </c>
      <c r="K16" s="15" t="e">
        <f t="shared" si="4"/>
        <v>#REF!</v>
      </c>
      <c r="L16" s="4" t="e">
        <f t="shared" si="5"/>
        <v>#REF!</v>
      </c>
      <c r="M16" s="17" t="e">
        <f t="shared" si="6"/>
        <v>#REF!</v>
      </c>
      <c r="N16" s="17" t="e">
        <f t="shared" si="7"/>
        <v>#REF!</v>
      </c>
      <c r="O16" s="20" t="e">
        <f t="shared" si="13"/>
        <v>#REF!</v>
      </c>
      <c r="P16" s="17" t="e">
        <f t="shared" si="8"/>
        <v>#REF!</v>
      </c>
      <c r="Q16" s="20" t="e">
        <f t="shared" si="14"/>
        <v>#REF!</v>
      </c>
      <c r="R16" s="17" t="e">
        <f t="shared" si="9"/>
        <v>#REF!</v>
      </c>
      <c r="S16" s="15" t="e">
        <f t="shared" si="15"/>
        <v>#REF!</v>
      </c>
      <c r="T16" s="4" t="e">
        <f t="shared" si="10"/>
        <v>#REF!</v>
      </c>
    </row>
    <row r="17" spans="1:20" x14ac:dyDescent="0.2">
      <c r="A17">
        <f t="shared" si="11"/>
        <v>13</v>
      </c>
      <c r="B17" s="2">
        <f t="shared" si="12"/>
        <v>7200</v>
      </c>
      <c r="C17" s="4" t="e">
        <f t="shared" si="16"/>
        <v>#REF!</v>
      </c>
      <c r="D17" s="4" t="e">
        <f t="shared" si="0"/>
        <v>#REF!</v>
      </c>
      <c r="E17" s="4" t="e">
        <f t="shared" si="17"/>
        <v>#REF!</v>
      </c>
      <c r="F17" s="4" t="e">
        <f t="shared" si="1"/>
        <v>#REF!</v>
      </c>
      <c r="G17" s="4" t="e">
        <f t="shared" si="18"/>
        <v>#REF!</v>
      </c>
      <c r="H17" s="4" t="e">
        <f t="shared" si="2"/>
        <v>#REF!</v>
      </c>
      <c r="I17" s="4" t="e">
        <f t="shared" si="19"/>
        <v>#REF!</v>
      </c>
      <c r="J17" s="4" t="e">
        <f t="shared" si="3"/>
        <v>#REF!</v>
      </c>
      <c r="K17" s="15" t="e">
        <f t="shared" si="4"/>
        <v>#REF!</v>
      </c>
      <c r="L17" s="4" t="e">
        <f t="shared" si="5"/>
        <v>#REF!</v>
      </c>
      <c r="M17" s="17" t="e">
        <f t="shared" si="6"/>
        <v>#REF!</v>
      </c>
      <c r="N17" s="17" t="e">
        <f t="shared" si="7"/>
        <v>#REF!</v>
      </c>
      <c r="O17" s="20" t="e">
        <f t="shared" si="13"/>
        <v>#REF!</v>
      </c>
      <c r="P17" s="17" t="e">
        <f t="shared" si="8"/>
        <v>#REF!</v>
      </c>
      <c r="Q17" s="20" t="e">
        <f t="shared" si="14"/>
        <v>#REF!</v>
      </c>
      <c r="R17" s="17" t="e">
        <f t="shared" si="9"/>
        <v>#REF!</v>
      </c>
      <c r="S17" s="15" t="e">
        <f t="shared" si="15"/>
        <v>#REF!</v>
      </c>
      <c r="T17" s="4" t="e">
        <f t="shared" si="10"/>
        <v>#REF!</v>
      </c>
    </row>
    <row r="18" spans="1:20" s="1" customFormat="1" x14ac:dyDescent="0.2">
      <c r="A18" s="19">
        <f t="shared" si="11"/>
        <v>14</v>
      </c>
      <c r="B18" s="6">
        <f t="shared" si="12"/>
        <v>7600</v>
      </c>
      <c r="C18" s="16" t="e">
        <f t="shared" si="16"/>
        <v>#REF!</v>
      </c>
      <c r="D18" s="16" t="e">
        <f t="shared" si="0"/>
        <v>#REF!</v>
      </c>
      <c r="E18" s="16" t="e">
        <f t="shared" si="17"/>
        <v>#REF!</v>
      </c>
      <c r="F18" s="16" t="e">
        <f t="shared" si="1"/>
        <v>#REF!</v>
      </c>
      <c r="G18" s="16" t="e">
        <f t="shared" si="18"/>
        <v>#REF!</v>
      </c>
      <c r="H18" s="16" t="e">
        <f t="shared" si="2"/>
        <v>#REF!</v>
      </c>
      <c r="I18" s="16" t="e">
        <f t="shared" si="19"/>
        <v>#REF!</v>
      </c>
      <c r="J18" s="16" t="e">
        <f t="shared" si="3"/>
        <v>#REF!</v>
      </c>
      <c r="K18" s="16" t="e">
        <f>+B18/$B$18*$J$18</f>
        <v>#REF!</v>
      </c>
      <c r="L18" s="16" t="e">
        <f t="shared" si="5"/>
        <v>#REF!</v>
      </c>
      <c r="M18" s="18" t="e">
        <f t="shared" si="6"/>
        <v>#REF!</v>
      </c>
      <c r="N18" s="18" t="e">
        <f t="shared" si="7"/>
        <v>#REF!</v>
      </c>
      <c r="O18" s="18" t="e">
        <f t="shared" si="13"/>
        <v>#REF!</v>
      </c>
      <c r="P18" s="18" t="e">
        <f>+$M$18*($P$1+(1-$P$1)*(B18/$B$18))</f>
        <v>#REF!</v>
      </c>
      <c r="Q18" s="18" t="e">
        <f t="shared" si="14"/>
        <v>#REF!</v>
      </c>
      <c r="R18" s="18" t="e">
        <f t="shared" si="9"/>
        <v>#REF!</v>
      </c>
      <c r="S18" s="16" t="e">
        <f t="shared" si="15"/>
        <v>#REF!</v>
      </c>
      <c r="T18" s="16" t="e">
        <f t="shared" si="10"/>
        <v>#REF!</v>
      </c>
    </row>
    <row r="19" spans="1:20" x14ac:dyDescent="0.2">
      <c r="A19">
        <f t="shared" si="11"/>
        <v>15</v>
      </c>
      <c r="B19" s="2">
        <f t="shared" si="12"/>
        <v>8000</v>
      </c>
      <c r="C19" s="4" t="e">
        <f t="shared" si="16"/>
        <v>#REF!</v>
      </c>
      <c r="D19" s="4" t="e">
        <f t="shared" si="0"/>
        <v>#REF!</v>
      </c>
      <c r="E19" s="4" t="e">
        <f t="shared" si="17"/>
        <v>#REF!</v>
      </c>
      <c r="F19" s="4" t="e">
        <f t="shared" si="1"/>
        <v>#REF!</v>
      </c>
      <c r="G19" s="4" t="e">
        <f t="shared" si="18"/>
        <v>#REF!</v>
      </c>
      <c r="H19" s="4" t="e">
        <f t="shared" si="2"/>
        <v>#REF!</v>
      </c>
      <c r="I19" s="4" t="e">
        <f t="shared" si="19"/>
        <v>#REF!</v>
      </c>
      <c r="J19" s="4" t="e">
        <f t="shared" si="3"/>
        <v>#REF!</v>
      </c>
      <c r="K19" s="15" t="e">
        <f t="shared" ref="K19:K31" si="20">+B19/$B$18*$J$18</f>
        <v>#REF!</v>
      </c>
      <c r="L19" s="4" t="e">
        <f t="shared" si="5"/>
        <v>#REF!</v>
      </c>
      <c r="M19" s="17" t="e">
        <f t="shared" si="6"/>
        <v>#REF!</v>
      </c>
      <c r="N19" s="17" t="e">
        <f t="shared" si="7"/>
        <v>#REF!</v>
      </c>
      <c r="O19" s="20" t="e">
        <f t="shared" si="13"/>
        <v>#REF!</v>
      </c>
      <c r="P19" s="17" t="e">
        <f t="shared" si="8"/>
        <v>#REF!</v>
      </c>
      <c r="Q19" s="20" t="e">
        <f t="shared" si="14"/>
        <v>#REF!</v>
      </c>
      <c r="R19" s="17" t="e">
        <f t="shared" si="9"/>
        <v>#REF!</v>
      </c>
      <c r="S19" s="15" t="e">
        <f t="shared" si="15"/>
        <v>#REF!</v>
      </c>
      <c r="T19" s="4" t="e">
        <f t="shared" si="10"/>
        <v>#REF!</v>
      </c>
    </row>
    <row r="20" spans="1:20" x14ac:dyDescent="0.2">
      <c r="A20">
        <f t="shared" si="11"/>
        <v>16</v>
      </c>
      <c r="B20" s="2">
        <f t="shared" si="12"/>
        <v>8400</v>
      </c>
      <c r="C20" s="4" t="e">
        <f t="shared" si="16"/>
        <v>#REF!</v>
      </c>
      <c r="D20" s="4" t="e">
        <f t="shared" si="0"/>
        <v>#REF!</v>
      </c>
      <c r="E20" s="4" t="e">
        <f t="shared" si="17"/>
        <v>#REF!</v>
      </c>
      <c r="F20" s="4" t="e">
        <f t="shared" si="1"/>
        <v>#REF!</v>
      </c>
      <c r="G20" s="4" t="e">
        <f t="shared" si="18"/>
        <v>#REF!</v>
      </c>
      <c r="H20" s="4" t="e">
        <f t="shared" si="2"/>
        <v>#REF!</v>
      </c>
      <c r="I20" s="4" t="e">
        <f t="shared" si="19"/>
        <v>#REF!</v>
      </c>
      <c r="J20" s="4" t="e">
        <f t="shared" si="3"/>
        <v>#REF!</v>
      </c>
      <c r="K20" s="15" t="e">
        <f t="shared" si="20"/>
        <v>#REF!</v>
      </c>
      <c r="L20" s="4" t="e">
        <f t="shared" si="5"/>
        <v>#REF!</v>
      </c>
      <c r="M20" s="17" t="e">
        <f t="shared" si="6"/>
        <v>#REF!</v>
      </c>
      <c r="N20" s="17" t="e">
        <f t="shared" si="7"/>
        <v>#REF!</v>
      </c>
      <c r="O20" s="20" t="e">
        <f t="shared" si="13"/>
        <v>#REF!</v>
      </c>
      <c r="P20" s="17" t="e">
        <f t="shared" si="8"/>
        <v>#REF!</v>
      </c>
      <c r="Q20" s="20" t="e">
        <f t="shared" si="14"/>
        <v>#REF!</v>
      </c>
      <c r="R20" s="17" t="e">
        <f t="shared" si="9"/>
        <v>#REF!</v>
      </c>
      <c r="S20" s="15" t="e">
        <f t="shared" si="15"/>
        <v>#REF!</v>
      </c>
      <c r="T20" s="4" t="e">
        <f t="shared" si="10"/>
        <v>#REF!</v>
      </c>
    </row>
    <row r="21" spans="1:20" x14ac:dyDescent="0.2">
      <c r="A21">
        <f t="shared" si="11"/>
        <v>17</v>
      </c>
      <c r="B21" s="2">
        <f t="shared" si="12"/>
        <v>8800</v>
      </c>
      <c r="C21" s="4" t="e">
        <f t="shared" si="16"/>
        <v>#REF!</v>
      </c>
      <c r="D21" s="4" t="e">
        <f t="shared" si="0"/>
        <v>#REF!</v>
      </c>
      <c r="E21" s="4" t="e">
        <f t="shared" si="17"/>
        <v>#REF!</v>
      </c>
      <c r="F21" s="4" t="e">
        <f t="shared" si="1"/>
        <v>#REF!</v>
      </c>
      <c r="G21" s="4" t="e">
        <f t="shared" si="18"/>
        <v>#REF!</v>
      </c>
      <c r="H21" s="4" t="e">
        <f t="shared" si="2"/>
        <v>#REF!</v>
      </c>
      <c r="I21" s="4" t="e">
        <f t="shared" si="19"/>
        <v>#REF!</v>
      </c>
      <c r="J21" s="4" t="e">
        <f t="shared" si="3"/>
        <v>#REF!</v>
      </c>
      <c r="K21" s="15" t="e">
        <f t="shared" si="20"/>
        <v>#REF!</v>
      </c>
      <c r="L21" s="4" t="e">
        <f t="shared" si="5"/>
        <v>#REF!</v>
      </c>
      <c r="M21" s="17" t="e">
        <f t="shared" si="6"/>
        <v>#REF!</v>
      </c>
      <c r="N21" s="17" t="e">
        <f t="shared" si="7"/>
        <v>#REF!</v>
      </c>
      <c r="O21" s="20" t="e">
        <f t="shared" si="13"/>
        <v>#REF!</v>
      </c>
      <c r="P21" s="17" t="e">
        <f t="shared" si="8"/>
        <v>#REF!</v>
      </c>
      <c r="Q21" s="20" t="e">
        <f t="shared" si="14"/>
        <v>#REF!</v>
      </c>
      <c r="R21" s="17" t="e">
        <f t="shared" si="9"/>
        <v>#REF!</v>
      </c>
      <c r="S21" s="15" t="e">
        <f t="shared" si="15"/>
        <v>#REF!</v>
      </c>
      <c r="T21" s="4" t="e">
        <f t="shared" si="10"/>
        <v>#REF!</v>
      </c>
    </row>
    <row r="22" spans="1:20" x14ac:dyDescent="0.2">
      <c r="A22">
        <f t="shared" si="11"/>
        <v>18</v>
      </c>
      <c r="B22" s="2">
        <f t="shared" si="12"/>
        <v>9200</v>
      </c>
      <c r="C22" s="4" t="e">
        <f t="shared" si="16"/>
        <v>#REF!</v>
      </c>
      <c r="D22" s="4" t="e">
        <f t="shared" si="0"/>
        <v>#REF!</v>
      </c>
      <c r="E22" s="4" t="e">
        <f t="shared" si="17"/>
        <v>#REF!</v>
      </c>
      <c r="F22" s="4" t="e">
        <f t="shared" si="1"/>
        <v>#REF!</v>
      </c>
      <c r="G22" s="4" t="e">
        <f t="shared" si="18"/>
        <v>#REF!</v>
      </c>
      <c r="H22" s="4" t="e">
        <f t="shared" si="2"/>
        <v>#REF!</v>
      </c>
      <c r="I22" s="4" t="e">
        <f t="shared" si="19"/>
        <v>#REF!</v>
      </c>
      <c r="J22" s="4" t="e">
        <f t="shared" si="3"/>
        <v>#REF!</v>
      </c>
      <c r="K22" s="15" t="e">
        <f t="shared" si="20"/>
        <v>#REF!</v>
      </c>
      <c r="L22" s="4" t="e">
        <f t="shared" si="5"/>
        <v>#REF!</v>
      </c>
      <c r="M22" s="17" t="e">
        <f t="shared" si="6"/>
        <v>#REF!</v>
      </c>
      <c r="N22" s="17" t="e">
        <f t="shared" si="7"/>
        <v>#REF!</v>
      </c>
      <c r="O22" s="20" t="e">
        <f t="shared" si="13"/>
        <v>#REF!</v>
      </c>
      <c r="P22" s="17" t="e">
        <f t="shared" si="8"/>
        <v>#REF!</v>
      </c>
      <c r="Q22" s="20" t="e">
        <f t="shared" si="14"/>
        <v>#REF!</v>
      </c>
      <c r="R22" s="17" t="e">
        <f t="shared" si="9"/>
        <v>#REF!</v>
      </c>
      <c r="S22" s="15" t="e">
        <f t="shared" si="15"/>
        <v>#REF!</v>
      </c>
      <c r="T22" s="4" t="e">
        <f t="shared" si="10"/>
        <v>#REF!</v>
      </c>
    </row>
    <row r="23" spans="1:20" x14ac:dyDescent="0.2">
      <c r="A23">
        <f t="shared" si="11"/>
        <v>19</v>
      </c>
      <c r="B23" s="2">
        <f t="shared" si="12"/>
        <v>9600</v>
      </c>
      <c r="C23" s="4" t="e">
        <f t="shared" si="16"/>
        <v>#REF!</v>
      </c>
      <c r="D23" s="4" t="e">
        <f t="shared" si="0"/>
        <v>#REF!</v>
      </c>
      <c r="E23" s="4" t="e">
        <f t="shared" si="17"/>
        <v>#REF!</v>
      </c>
      <c r="F23" s="4" t="e">
        <f t="shared" si="1"/>
        <v>#REF!</v>
      </c>
      <c r="G23" s="4" t="e">
        <f t="shared" si="18"/>
        <v>#REF!</v>
      </c>
      <c r="H23" s="4" t="e">
        <f t="shared" si="2"/>
        <v>#REF!</v>
      </c>
      <c r="I23" s="4" t="e">
        <f t="shared" si="19"/>
        <v>#REF!</v>
      </c>
      <c r="J23" s="4" t="e">
        <f t="shared" si="3"/>
        <v>#REF!</v>
      </c>
      <c r="K23" s="15" t="e">
        <f t="shared" si="20"/>
        <v>#REF!</v>
      </c>
      <c r="L23" s="4" t="e">
        <f t="shared" si="5"/>
        <v>#REF!</v>
      </c>
      <c r="M23" s="17" t="e">
        <f t="shared" si="6"/>
        <v>#REF!</v>
      </c>
      <c r="N23" s="17" t="e">
        <f t="shared" si="7"/>
        <v>#REF!</v>
      </c>
      <c r="O23" s="20" t="e">
        <f t="shared" si="13"/>
        <v>#REF!</v>
      </c>
      <c r="P23" s="17" t="e">
        <f t="shared" si="8"/>
        <v>#REF!</v>
      </c>
      <c r="Q23" s="20" t="e">
        <f t="shared" si="14"/>
        <v>#REF!</v>
      </c>
      <c r="R23" s="17" t="e">
        <f t="shared" si="9"/>
        <v>#REF!</v>
      </c>
      <c r="S23" s="15" t="e">
        <f t="shared" si="15"/>
        <v>#REF!</v>
      </c>
      <c r="T23" s="4" t="e">
        <f t="shared" si="10"/>
        <v>#REF!</v>
      </c>
    </row>
    <row r="24" spans="1:20" x14ac:dyDescent="0.2">
      <c r="A24">
        <f t="shared" si="11"/>
        <v>20</v>
      </c>
      <c r="B24" s="2">
        <f t="shared" si="12"/>
        <v>10000</v>
      </c>
      <c r="C24" s="4" t="e">
        <f t="shared" si="16"/>
        <v>#REF!</v>
      </c>
      <c r="D24" s="4" t="e">
        <f t="shared" si="0"/>
        <v>#REF!</v>
      </c>
      <c r="E24" s="4" t="e">
        <f t="shared" si="17"/>
        <v>#REF!</v>
      </c>
      <c r="F24" s="4" t="e">
        <f t="shared" si="1"/>
        <v>#REF!</v>
      </c>
      <c r="G24" s="4" t="e">
        <f t="shared" si="18"/>
        <v>#REF!</v>
      </c>
      <c r="H24" s="4" t="e">
        <f t="shared" si="2"/>
        <v>#REF!</v>
      </c>
      <c r="I24" s="4" t="e">
        <f t="shared" si="19"/>
        <v>#REF!</v>
      </c>
      <c r="J24" s="4" t="e">
        <f t="shared" si="3"/>
        <v>#REF!</v>
      </c>
      <c r="K24" s="15" t="e">
        <f t="shared" si="20"/>
        <v>#REF!</v>
      </c>
      <c r="L24" s="4" t="e">
        <f t="shared" si="5"/>
        <v>#REF!</v>
      </c>
      <c r="M24" s="17" t="e">
        <f t="shared" si="6"/>
        <v>#REF!</v>
      </c>
      <c r="N24" s="17" t="e">
        <f t="shared" si="7"/>
        <v>#REF!</v>
      </c>
      <c r="O24" s="20" t="e">
        <f t="shared" si="13"/>
        <v>#REF!</v>
      </c>
      <c r="P24" s="17" t="e">
        <f t="shared" si="8"/>
        <v>#REF!</v>
      </c>
      <c r="Q24" s="20" t="e">
        <f t="shared" si="14"/>
        <v>#REF!</v>
      </c>
      <c r="R24" s="17" t="e">
        <f t="shared" si="9"/>
        <v>#REF!</v>
      </c>
      <c r="S24" s="15" t="e">
        <f t="shared" si="15"/>
        <v>#REF!</v>
      </c>
      <c r="T24" s="4" t="e">
        <f t="shared" si="10"/>
        <v>#REF!</v>
      </c>
    </row>
    <row r="25" spans="1:20" x14ac:dyDescent="0.2">
      <c r="A25">
        <f t="shared" si="11"/>
        <v>21</v>
      </c>
      <c r="B25" s="2">
        <f t="shared" si="12"/>
        <v>10400</v>
      </c>
      <c r="C25" s="4" t="e">
        <f t="shared" si="16"/>
        <v>#REF!</v>
      </c>
      <c r="D25" s="4" t="e">
        <f t="shared" si="0"/>
        <v>#REF!</v>
      </c>
      <c r="E25" s="4" t="e">
        <f t="shared" si="17"/>
        <v>#REF!</v>
      </c>
      <c r="F25" s="4" t="e">
        <f t="shared" si="1"/>
        <v>#REF!</v>
      </c>
      <c r="G25" s="4" t="e">
        <f t="shared" si="18"/>
        <v>#REF!</v>
      </c>
      <c r="H25" s="4" t="e">
        <f t="shared" si="2"/>
        <v>#REF!</v>
      </c>
      <c r="I25" s="4" t="e">
        <f t="shared" si="19"/>
        <v>#REF!</v>
      </c>
      <c r="J25" s="4" t="e">
        <f t="shared" si="3"/>
        <v>#REF!</v>
      </c>
      <c r="K25" s="15" t="e">
        <f t="shared" si="20"/>
        <v>#REF!</v>
      </c>
      <c r="L25" s="4" t="e">
        <f t="shared" si="5"/>
        <v>#REF!</v>
      </c>
      <c r="M25" s="17" t="e">
        <f t="shared" si="6"/>
        <v>#REF!</v>
      </c>
      <c r="N25" s="17" t="e">
        <f t="shared" si="7"/>
        <v>#REF!</v>
      </c>
      <c r="O25" s="20" t="e">
        <f t="shared" si="13"/>
        <v>#REF!</v>
      </c>
      <c r="P25" s="17" t="e">
        <f t="shared" si="8"/>
        <v>#REF!</v>
      </c>
      <c r="Q25" s="20" t="e">
        <f t="shared" si="14"/>
        <v>#REF!</v>
      </c>
      <c r="R25" s="17" t="e">
        <f t="shared" si="9"/>
        <v>#REF!</v>
      </c>
      <c r="S25" s="15" t="e">
        <f t="shared" si="15"/>
        <v>#REF!</v>
      </c>
      <c r="T25" s="4" t="e">
        <f t="shared" si="10"/>
        <v>#REF!</v>
      </c>
    </row>
    <row r="26" spans="1:20" x14ac:dyDescent="0.2">
      <c r="A26">
        <f t="shared" si="11"/>
        <v>22</v>
      </c>
      <c r="B26" s="2">
        <f t="shared" si="12"/>
        <v>10800</v>
      </c>
      <c r="C26" s="4" t="e">
        <f t="shared" si="16"/>
        <v>#REF!</v>
      </c>
      <c r="D26" s="4" t="e">
        <f t="shared" si="0"/>
        <v>#REF!</v>
      </c>
      <c r="E26" s="4" t="e">
        <f t="shared" si="17"/>
        <v>#REF!</v>
      </c>
      <c r="F26" s="4" t="e">
        <f t="shared" si="1"/>
        <v>#REF!</v>
      </c>
      <c r="G26" s="4" t="e">
        <f t="shared" si="18"/>
        <v>#REF!</v>
      </c>
      <c r="H26" s="4" t="e">
        <f t="shared" si="2"/>
        <v>#REF!</v>
      </c>
      <c r="I26" s="4" t="e">
        <f t="shared" si="19"/>
        <v>#REF!</v>
      </c>
      <c r="J26" s="4" t="e">
        <f t="shared" si="3"/>
        <v>#REF!</v>
      </c>
      <c r="K26" s="15" t="e">
        <f t="shared" si="20"/>
        <v>#REF!</v>
      </c>
      <c r="L26" s="4" t="e">
        <f t="shared" si="5"/>
        <v>#REF!</v>
      </c>
      <c r="M26" s="17" t="e">
        <f t="shared" si="6"/>
        <v>#REF!</v>
      </c>
      <c r="N26" s="17" t="e">
        <f t="shared" si="7"/>
        <v>#REF!</v>
      </c>
      <c r="O26" s="20" t="e">
        <f t="shared" si="13"/>
        <v>#REF!</v>
      </c>
      <c r="P26" s="17" t="e">
        <f t="shared" si="8"/>
        <v>#REF!</v>
      </c>
      <c r="Q26" s="20" t="e">
        <f t="shared" si="14"/>
        <v>#REF!</v>
      </c>
      <c r="R26" s="17" t="e">
        <f t="shared" si="9"/>
        <v>#REF!</v>
      </c>
      <c r="S26" s="15" t="e">
        <f t="shared" si="15"/>
        <v>#REF!</v>
      </c>
      <c r="T26" s="4" t="e">
        <f t="shared" si="10"/>
        <v>#REF!</v>
      </c>
    </row>
    <row r="27" spans="1:20" x14ac:dyDescent="0.2">
      <c r="A27">
        <f t="shared" si="11"/>
        <v>23</v>
      </c>
      <c r="B27" s="2">
        <f t="shared" si="12"/>
        <v>11200</v>
      </c>
      <c r="C27" s="4" t="e">
        <f t="shared" si="16"/>
        <v>#REF!</v>
      </c>
      <c r="D27" s="4" t="e">
        <f t="shared" si="0"/>
        <v>#REF!</v>
      </c>
      <c r="E27" s="4" t="e">
        <f t="shared" si="17"/>
        <v>#REF!</v>
      </c>
      <c r="F27" s="4" t="e">
        <f t="shared" si="1"/>
        <v>#REF!</v>
      </c>
      <c r="G27" s="4" t="e">
        <f t="shared" si="18"/>
        <v>#REF!</v>
      </c>
      <c r="H27" s="4" t="e">
        <f t="shared" si="2"/>
        <v>#REF!</v>
      </c>
      <c r="I27" s="4" t="e">
        <f t="shared" si="19"/>
        <v>#REF!</v>
      </c>
      <c r="J27" s="4" t="e">
        <f t="shared" si="3"/>
        <v>#REF!</v>
      </c>
      <c r="K27" s="15" t="e">
        <f t="shared" si="20"/>
        <v>#REF!</v>
      </c>
      <c r="L27" s="4" t="e">
        <f t="shared" si="5"/>
        <v>#REF!</v>
      </c>
      <c r="M27" s="17" t="e">
        <f t="shared" si="6"/>
        <v>#REF!</v>
      </c>
      <c r="N27" s="17" t="e">
        <f t="shared" si="7"/>
        <v>#REF!</v>
      </c>
      <c r="O27" s="20" t="e">
        <f t="shared" si="13"/>
        <v>#REF!</v>
      </c>
      <c r="P27" s="17" t="e">
        <f t="shared" si="8"/>
        <v>#REF!</v>
      </c>
      <c r="Q27" s="20" t="e">
        <f t="shared" si="14"/>
        <v>#REF!</v>
      </c>
      <c r="R27" s="17" t="e">
        <f t="shared" si="9"/>
        <v>#REF!</v>
      </c>
      <c r="S27" s="15" t="e">
        <f t="shared" si="15"/>
        <v>#REF!</v>
      </c>
      <c r="T27" s="4" t="e">
        <f t="shared" si="10"/>
        <v>#REF!</v>
      </c>
    </row>
    <row r="28" spans="1:20" x14ac:dyDescent="0.2">
      <c r="A28">
        <f t="shared" si="11"/>
        <v>24</v>
      </c>
      <c r="B28" s="2">
        <f t="shared" si="12"/>
        <v>11600</v>
      </c>
      <c r="C28" s="4" t="e">
        <f t="shared" si="16"/>
        <v>#REF!</v>
      </c>
      <c r="D28" s="4" t="e">
        <f t="shared" si="0"/>
        <v>#REF!</v>
      </c>
      <c r="E28" s="4" t="e">
        <f t="shared" si="17"/>
        <v>#REF!</v>
      </c>
      <c r="F28" s="4" t="e">
        <f t="shared" si="1"/>
        <v>#REF!</v>
      </c>
      <c r="G28" s="4" t="e">
        <f t="shared" si="18"/>
        <v>#REF!</v>
      </c>
      <c r="H28" s="4" t="e">
        <f t="shared" si="2"/>
        <v>#REF!</v>
      </c>
      <c r="I28" s="4" t="e">
        <f t="shared" si="19"/>
        <v>#REF!</v>
      </c>
      <c r="J28" s="4" t="e">
        <f t="shared" si="3"/>
        <v>#REF!</v>
      </c>
      <c r="K28" s="15" t="e">
        <f t="shared" si="20"/>
        <v>#REF!</v>
      </c>
      <c r="L28" s="4" t="e">
        <f t="shared" si="5"/>
        <v>#REF!</v>
      </c>
      <c r="M28" s="17" t="e">
        <f t="shared" si="6"/>
        <v>#REF!</v>
      </c>
      <c r="N28" s="17" t="e">
        <f t="shared" si="7"/>
        <v>#REF!</v>
      </c>
      <c r="O28" s="20" t="e">
        <f t="shared" si="13"/>
        <v>#REF!</v>
      </c>
      <c r="P28" s="17" t="e">
        <f t="shared" si="8"/>
        <v>#REF!</v>
      </c>
      <c r="Q28" s="20" t="e">
        <f t="shared" si="14"/>
        <v>#REF!</v>
      </c>
      <c r="R28" s="17" t="e">
        <f t="shared" si="9"/>
        <v>#REF!</v>
      </c>
      <c r="S28" s="15" t="e">
        <f t="shared" si="15"/>
        <v>#REF!</v>
      </c>
      <c r="T28" s="4" t="e">
        <f t="shared" si="10"/>
        <v>#REF!</v>
      </c>
    </row>
    <row r="29" spans="1:20" x14ac:dyDescent="0.2">
      <c r="A29">
        <f t="shared" si="11"/>
        <v>25</v>
      </c>
      <c r="B29" s="2">
        <f t="shared" si="12"/>
        <v>12000</v>
      </c>
      <c r="C29" s="4" t="e">
        <f t="shared" si="16"/>
        <v>#REF!</v>
      </c>
      <c r="D29" s="4" t="e">
        <f t="shared" si="0"/>
        <v>#REF!</v>
      </c>
      <c r="E29" s="4" t="e">
        <f t="shared" si="17"/>
        <v>#REF!</v>
      </c>
      <c r="F29" s="4" t="e">
        <f t="shared" si="1"/>
        <v>#REF!</v>
      </c>
      <c r="G29" s="4" t="e">
        <f t="shared" si="18"/>
        <v>#REF!</v>
      </c>
      <c r="H29" s="4" t="e">
        <f t="shared" si="2"/>
        <v>#REF!</v>
      </c>
      <c r="I29" s="4" t="e">
        <f t="shared" si="19"/>
        <v>#REF!</v>
      </c>
      <c r="J29" s="4" t="e">
        <f t="shared" si="3"/>
        <v>#REF!</v>
      </c>
      <c r="K29" s="15" t="e">
        <f t="shared" si="20"/>
        <v>#REF!</v>
      </c>
      <c r="L29" s="4" t="e">
        <f t="shared" si="5"/>
        <v>#REF!</v>
      </c>
      <c r="M29" s="17" t="e">
        <f t="shared" si="6"/>
        <v>#REF!</v>
      </c>
      <c r="N29" s="17" t="e">
        <f t="shared" si="7"/>
        <v>#REF!</v>
      </c>
      <c r="O29" s="20" t="e">
        <f t="shared" si="13"/>
        <v>#REF!</v>
      </c>
      <c r="P29" s="17" t="e">
        <f t="shared" si="8"/>
        <v>#REF!</v>
      </c>
      <c r="Q29" s="20" t="e">
        <f t="shared" si="14"/>
        <v>#REF!</v>
      </c>
      <c r="R29" s="17" t="e">
        <f t="shared" si="9"/>
        <v>#REF!</v>
      </c>
      <c r="S29" s="15" t="e">
        <f t="shared" si="15"/>
        <v>#REF!</v>
      </c>
      <c r="T29" s="4" t="e">
        <f t="shared" si="10"/>
        <v>#REF!</v>
      </c>
    </row>
    <row r="30" spans="1:20" x14ac:dyDescent="0.2">
      <c r="A30">
        <f t="shared" si="11"/>
        <v>26</v>
      </c>
      <c r="B30" s="2">
        <f t="shared" si="12"/>
        <v>12400</v>
      </c>
      <c r="C30" s="4" t="e">
        <f t="shared" si="16"/>
        <v>#REF!</v>
      </c>
      <c r="D30" s="4" t="e">
        <f t="shared" si="0"/>
        <v>#REF!</v>
      </c>
      <c r="E30" s="4" t="e">
        <f t="shared" si="17"/>
        <v>#REF!</v>
      </c>
      <c r="F30" s="4" t="e">
        <f t="shared" si="1"/>
        <v>#REF!</v>
      </c>
      <c r="G30" s="4" t="e">
        <f t="shared" si="18"/>
        <v>#REF!</v>
      </c>
      <c r="H30" s="4" t="e">
        <f t="shared" si="2"/>
        <v>#REF!</v>
      </c>
      <c r="I30" s="4" t="e">
        <f t="shared" si="19"/>
        <v>#REF!</v>
      </c>
      <c r="J30" s="4" t="e">
        <f t="shared" si="3"/>
        <v>#REF!</v>
      </c>
      <c r="K30" s="15" t="e">
        <f t="shared" si="20"/>
        <v>#REF!</v>
      </c>
      <c r="L30" s="4" t="e">
        <f t="shared" si="5"/>
        <v>#REF!</v>
      </c>
      <c r="M30" s="17" t="e">
        <f t="shared" si="6"/>
        <v>#REF!</v>
      </c>
      <c r="N30" s="17" t="e">
        <f t="shared" si="7"/>
        <v>#REF!</v>
      </c>
      <c r="O30" s="20" t="e">
        <f t="shared" si="13"/>
        <v>#REF!</v>
      </c>
      <c r="P30" s="17" t="e">
        <f t="shared" si="8"/>
        <v>#REF!</v>
      </c>
      <c r="Q30" s="20" t="e">
        <f t="shared" si="14"/>
        <v>#REF!</v>
      </c>
      <c r="R30" s="17" t="e">
        <f t="shared" si="9"/>
        <v>#REF!</v>
      </c>
      <c r="S30" s="15" t="e">
        <f t="shared" si="15"/>
        <v>#REF!</v>
      </c>
      <c r="T30" s="4" t="e">
        <f t="shared" si="10"/>
        <v>#REF!</v>
      </c>
    </row>
    <row r="31" spans="1:20" x14ac:dyDescent="0.2">
      <c r="A31" s="5">
        <f t="shared" si="11"/>
        <v>27</v>
      </c>
      <c r="B31" s="2">
        <f t="shared" si="12"/>
        <v>12800</v>
      </c>
      <c r="C31" s="4" t="e">
        <f t="shared" si="16"/>
        <v>#REF!</v>
      </c>
      <c r="D31" s="4" t="e">
        <f t="shared" si="0"/>
        <v>#REF!</v>
      </c>
      <c r="E31" s="4" t="e">
        <f t="shared" si="17"/>
        <v>#REF!</v>
      </c>
      <c r="F31" s="4" t="e">
        <f t="shared" si="1"/>
        <v>#REF!</v>
      </c>
      <c r="G31" s="4" t="e">
        <f t="shared" si="18"/>
        <v>#REF!</v>
      </c>
      <c r="H31" s="4" t="e">
        <f t="shared" si="2"/>
        <v>#REF!</v>
      </c>
      <c r="I31" s="4" t="e">
        <f t="shared" si="19"/>
        <v>#REF!</v>
      </c>
      <c r="J31" s="15" t="e">
        <f t="shared" si="3"/>
        <v>#REF!</v>
      </c>
      <c r="K31" s="15" t="e">
        <f t="shared" si="20"/>
        <v>#REF!</v>
      </c>
      <c r="L31" s="4" t="e">
        <f t="shared" si="5"/>
        <v>#REF!</v>
      </c>
      <c r="M31" s="17" t="e">
        <f t="shared" si="6"/>
        <v>#REF!</v>
      </c>
      <c r="N31" s="17" t="e">
        <f t="shared" si="7"/>
        <v>#REF!</v>
      </c>
      <c r="O31" s="20" t="e">
        <f t="shared" si="13"/>
        <v>#REF!</v>
      </c>
      <c r="P31" s="17" t="e">
        <f t="shared" si="8"/>
        <v>#REF!</v>
      </c>
      <c r="Q31" s="20" t="e">
        <f t="shared" si="14"/>
        <v>#REF!</v>
      </c>
      <c r="R31" s="17" t="e">
        <f t="shared" si="9"/>
        <v>#REF!</v>
      </c>
      <c r="S31" s="15" t="e">
        <f t="shared" si="15"/>
        <v>#REF!</v>
      </c>
      <c r="T31" s="4" t="e">
        <f t="shared" si="10"/>
        <v>#REF!</v>
      </c>
    </row>
    <row r="32" spans="1:20" x14ac:dyDescent="0.2">
      <c r="B32" s="2" t="s">
        <v>160</v>
      </c>
      <c r="C32" s="20" t="e">
        <f>+C31/B31</f>
        <v>#REF!</v>
      </c>
      <c r="E32" s="20" t="e">
        <f>+E31/D31</f>
        <v>#REF!</v>
      </c>
      <c r="F32" s="21"/>
      <c r="G32" s="20" t="e">
        <f>+G31/F31</f>
        <v>#REF!</v>
      </c>
      <c r="I32" s="20" t="e">
        <f>+I31/H31</f>
        <v>#REF!</v>
      </c>
    </row>
    <row r="33" spans="1:19" x14ac:dyDescent="0.2">
      <c r="B33" s="2">
        <v>400</v>
      </c>
      <c r="C33" s="27"/>
    </row>
    <row r="34" spans="1:19" x14ac:dyDescent="0.2">
      <c r="B34" s="3" t="s">
        <v>120</v>
      </c>
      <c r="C34" s="27"/>
      <c r="D34" s="3" t="s">
        <v>121</v>
      </c>
      <c r="F34" s="3" t="s">
        <v>122</v>
      </c>
      <c r="G34" s="3"/>
      <c r="H34" s="3" t="s">
        <v>123</v>
      </c>
    </row>
    <row r="35" spans="1:19" x14ac:dyDescent="0.2">
      <c r="B35" s="33" t="s">
        <v>124</v>
      </c>
      <c r="C35" s="34" t="s">
        <v>125</v>
      </c>
      <c r="D35" s="33" t="s">
        <v>124</v>
      </c>
      <c r="E35" s="34" t="s">
        <v>125</v>
      </c>
      <c r="F35" s="33" t="s">
        <v>124</v>
      </c>
      <c r="G35" s="34" t="s">
        <v>125</v>
      </c>
      <c r="H35" s="33" t="s">
        <v>124</v>
      </c>
      <c r="I35" s="34" t="s">
        <v>125</v>
      </c>
    </row>
    <row r="36" spans="1:19" x14ac:dyDescent="0.2">
      <c r="B36" s="65" t="e">
        <f>+B40</f>
        <v>#REF!</v>
      </c>
      <c r="C36" s="63" t="e">
        <f t="shared" ref="C36:I36" si="21">+C40</f>
        <v>#REF!</v>
      </c>
      <c r="D36" s="65">
        <f t="shared" si="21"/>
        <v>0</v>
      </c>
      <c r="E36" s="63">
        <f t="shared" si="21"/>
        <v>1.4130000000000001E-6</v>
      </c>
      <c r="F36" s="41" t="e">
        <f t="shared" si="21"/>
        <v>#REF!</v>
      </c>
      <c r="G36" s="41" t="e">
        <f t="shared" si="21"/>
        <v>#REF!</v>
      </c>
      <c r="H36" s="65">
        <f t="shared" si="21"/>
        <v>0</v>
      </c>
      <c r="I36" s="66" t="e">
        <f t="shared" si="21"/>
        <v>#REF!</v>
      </c>
    </row>
    <row r="37" spans="1:19" x14ac:dyDescent="0.2">
      <c r="B37" s="28"/>
      <c r="C37" s="29"/>
      <c r="D37" s="28"/>
      <c r="E37" s="29"/>
      <c r="F37" s="28"/>
      <c r="G37" s="29"/>
      <c r="H37" s="28"/>
      <c r="I37" s="29"/>
    </row>
    <row r="38" spans="1:19" x14ac:dyDescent="0.2">
      <c r="B38" s="28">
        <f>+'Loss Analysis 1995'!B38</f>
        <v>17.273</v>
      </c>
      <c r="C38" s="2">
        <f>+'Loss Analysis 1995'!C38</f>
        <v>3.4176000000000001E-7</v>
      </c>
      <c r="D38" s="53">
        <f>+'Loss Analysis 1995'!D38</f>
        <v>0</v>
      </c>
      <c r="E38" s="64">
        <f>+'Loss Analysis 1995'!E38</f>
        <v>1.0499999999999999E-6</v>
      </c>
      <c r="F38" s="28">
        <f>+'Loss Analysis 1995'!F38</f>
        <v>97.167000000000002</v>
      </c>
      <c r="G38" s="62">
        <f>+'Loss Analysis 1995'!G38</f>
        <v>5.8780000000000001E-7</v>
      </c>
      <c r="H38" s="53">
        <f>+'Loss Analysis 1995'!H38</f>
        <v>0</v>
      </c>
      <c r="I38" s="29">
        <f>+'Loss Analysis 1995'!I38</f>
        <v>4.2553199999999998E-7</v>
      </c>
      <c r="J38" s="2">
        <v>1995</v>
      </c>
    </row>
    <row r="39" spans="1:19" x14ac:dyDescent="0.2">
      <c r="B39" s="38" t="e">
        <f>+#REF!</f>
        <v>#REF!</v>
      </c>
      <c r="C39" s="64" t="e">
        <f>+#REF!</f>
        <v>#REF!</v>
      </c>
      <c r="D39" s="53" t="e">
        <f>+#REF!</f>
        <v>#REF!</v>
      </c>
      <c r="E39" s="64" t="e">
        <f>+#REF!</f>
        <v>#REF!</v>
      </c>
      <c r="F39" s="38" t="e">
        <f>+#REF!</f>
        <v>#REF!</v>
      </c>
      <c r="G39" s="62" t="e">
        <f>+#REF!</f>
        <v>#REF!</v>
      </c>
      <c r="H39" s="53" t="e">
        <f>+#REF!</f>
        <v>#REF!</v>
      </c>
      <c r="I39" s="40" t="e">
        <f>+#REF!</f>
        <v>#REF!</v>
      </c>
      <c r="J39" s="2">
        <v>2001</v>
      </c>
    </row>
    <row r="40" spans="1:19" x14ac:dyDescent="0.2">
      <c r="B40" s="38" t="e">
        <f>+B39</f>
        <v>#REF!</v>
      </c>
      <c r="C40" s="40" t="e">
        <f>+C39</f>
        <v>#REF!</v>
      </c>
      <c r="D40" s="53">
        <v>0</v>
      </c>
      <c r="E40" s="40">
        <v>1.4130000000000001E-6</v>
      </c>
      <c r="F40" s="38" t="e">
        <f>+F39</f>
        <v>#REF!</v>
      </c>
      <c r="G40" s="40" t="e">
        <f>+G39</f>
        <v>#REF!</v>
      </c>
      <c r="H40" s="53">
        <v>0</v>
      </c>
      <c r="I40" s="40" t="e">
        <f>+I39</f>
        <v>#REF!</v>
      </c>
      <c r="J40" s="2" t="s">
        <v>126</v>
      </c>
    </row>
    <row r="41" spans="1:19" x14ac:dyDescent="0.2">
      <c r="B41" s="38"/>
      <c r="C41" s="29"/>
      <c r="D41" s="28"/>
      <c r="E41" s="29"/>
      <c r="F41" s="28"/>
      <c r="G41" s="29"/>
      <c r="H41" s="28"/>
      <c r="I41" s="29"/>
    </row>
    <row r="42" spans="1:19" x14ac:dyDescent="0.2">
      <c r="A42" s="3"/>
      <c r="B42" s="39"/>
      <c r="C42" s="30"/>
      <c r="D42" s="31"/>
      <c r="E42" s="32"/>
      <c r="F42" s="31"/>
      <c r="G42" s="32"/>
      <c r="H42" s="31"/>
      <c r="I42" s="32"/>
      <c r="K42" s="3"/>
      <c r="N42" s="3"/>
      <c r="P42" s="3"/>
      <c r="R42" s="3"/>
      <c r="S42" s="3"/>
    </row>
    <row r="43" spans="1:19" x14ac:dyDescent="0.2">
      <c r="C43" s="4"/>
      <c r="D43" s="4"/>
      <c r="E43" s="4"/>
      <c r="F43" s="4"/>
      <c r="G43" s="4"/>
      <c r="H43" s="4"/>
      <c r="I43" s="4"/>
      <c r="J43" s="4"/>
      <c r="M43" s="4"/>
    </row>
    <row r="44" spans="1:19" x14ac:dyDescent="0.2">
      <c r="A44" s="3"/>
      <c r="B44" s="3"/>
      <c r="C44" s="3"/>
      <c r="K44" s="3"/>
      <c r="N44" s="3"/>
      <c r="P44" s="3"/>
      <c r="R44" s="3"/>
      <c r="S44" s="3"/>
    </row>
    <row r="45" spans="1:19" x14ac:dyDescent="0.2">
      <c r="A45" s="3"/>
      <c r="B45" s="3"/>
      <c r="C45" s="3"/>
      <c r="K45" s="3"/>
      <c r="N45" s="3"/>
      <c r="P45" s="3"/>
      <c r="R45" s="3"/>
      <c r="S45" s="3"/>
    </row>
    <row r="46" spans="1:19" x14ac:dyDescent="0.2">
      <c r="A46" s="3"/>
      <c r="B46" s="3"/>
      <c r="C46" s="3"/>
      <c r="K46" s="3"/>
      <c r="N46" s="3"/>
      <c r="P46" s="3"/>
      <c r="R46" s="3"/>
      <c r="S46" s="3"/>
    </row>
    <row r="47" spans="1:19" x14ac:dyDescent="0.2">
      <c r="A47" s="3"/>
      <c r="B47" s="3"/>
      <c r="C47" s="3"/>
      <c r="K47" s="3"/>
      <c r="N47" s="3"/>
      <c r="P47" s="3"/>
      <c r="R47" s="3"/>
      <c r="S47" s="3"/>
    </row>
    <row r="48" spans="1:19" x14ac:dyDescent="0.2">
      <c r="A48" s="3"/>
      <c r="B48" s="3"/>
      <c r="C48" s="3"/>
      <c r="K48" s="3"/>
      <c r="N48" s="3"/>
      <c r="P48" s="3"/>
      <c r="R48" s="3"/>
      <c r="S48" s="3"/>
    </row>
    <row r="49" spans="1:19" x14ac:dyDescent="0.2">
      <c r="A49" s="3"/>
      <c r="B49" s="3"/>
      <c r="C49" s="3"/>
      <c r="K49" s="3"/>
      <c r="N49" s="3"/>
      <c r="P49" s="3"/>
      <c r="R49" s="3"/>
      <c r="S49" s="3"/>
    </row>
    <row r="50" spans="1:19" x14ac:dyDescent="0.2">
      <c r="A50" s="3"/>
      <c r="B50" s="3"/>
      <c r="C50" s="3"/>
      <c r="K50" s="3"/>
      <c r="N50" s="3"/>
      <c r="P50" s="3"/>
      <c r="R50" s="3"/>
      <c r="S50" s="3"/>
    </row>
    <row r="51" spans="1:19" x14ac:dyDescent="0.2">
      <c r="A51" s="3"/>
      <c r="B51" s="3"/>
      <c r="C51" s="3"/>
      <c r="K51" s="3"/>
      <c r="N51" s="3"/>
      <c r="P51" s="3"/>
      <c r="R51" s="3"/>
      <c r="S51" s="3"/>
    </row>
    <row r="52" spans="1:19" x14ac:dyDescent="0.2">
      <c r="A52" s="3"/>
      <c r="B52" s="3"/>
      <c r="C52" s="3"/>
      <c r="K52" s="3"/>
      <c r="N52" s="3"/>
      <c r="P52" s="3"/>
      <c r="R52" s="3"/>
      <c r="S52" s="3"/>
    </row>
    <row r="53" spans="1:19" x14ac:dyDescent="0.2">
      <c r="A53" s="3"/>
      <c r="B53" s="3"/>
      <c r="C53" s="3"/>
      <c r="K53" s="3"/>
      <c r="N53" s="3"/>
      <c r="P53" s="3"/>
      <c r="R53" s="3"/>
      <c r="S53" s="3"/>
    </row>
  </sheetData>
  <phoneticPr fontId="13" type="noConversion"/>
  <pageMargins left="0.25" right="0.25" top="0.75" bottom="0.5" header="0" footer="0"/>
  <pageSetup paperSize="5" scale="61" orientation="landscape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F0D53CE03AFF4E86949D574ED1540C" ma:contentTypeVersion="5" ma:contentTypeDescription="Create a new document." ma:contentTypeScope="" ma:versionID="2d234e6e33610eab7aa4eebcc94658e5">
  <xsd:schema xmlns:xsd="http://www.w3.org/2001/XMLSchema" xmlns:xs="http://www.w3.org/2001/XMLSchema" xmlns:p="http://schemas.microsoft.com/office/2006/metadata/properties" xmlns:ns2="3081e31a-0e06-4e7f-a78c-fa928006f79a" xmlns:ns3="d18d6102-c084-46e9-a5e7-049c6854549e" targetNamespace="http://schemas.microsoft.com/office/2006/metadata/properties" ma:root="true" ma:fieldsID="ea6345749224668ae7cc00b946847239" ns2:_="" ns3:_="">
    <xsd:import namespace="3081e31a-0e06-4e7f-a78c-fa928006f79a"/>
    <xsd:import namespace="d18d6102-c084-46e9-a5e7-049c685454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81e31a-0e06-4e7f-a78c-fa928006f7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8d6102-c084-46e9-a5e7-049c6854549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588C63-C6FD-4BB5-B917-5072B122F6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81e31a-0e06-4e7f-a78c-fa928006f79a"/>
    <ds:schemaRef ds:uri="d18d6102-c084-46e9-a5e7-049c685454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9C0286-6094-4310-8650-C3121F151E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1) General Information</vt:lpstr>
      <vt:lpstr>Loss Comparison</vt:lpstr>
      <vt:lpstr>Loss Analysis 1995</vt:lpstr>
      <vt:lpstr>2) Loss Analysis</vt:lpstr>
      <vt:lpstr>3) Loss Equations</vt:lpstr>
      <vt:lpstr>Loss Analysis 2001 Mod</vt:lpstr>
      <vt:lpstr>'1) General Information'!Print_Area</vt:lpstr>
      <vt:lpstr>'2) Loss Analysis'!Print_Area</vt:lpstr>
      <vt:lpstr>'3) Loss Equations'!Print_Area</vt:lpstr>
      <vt:lpstr>'Loss Analysis 1995'!Print_Area</vt:lpstr>
      <vt:lpstr>'Loss Analysis 2001 Mod'!Print_Area</vt:lpstr>
      <vt:lpstr>'Loss Comparison'!Print_Area</vt:lpstr>
    </vt:vector>
  </TitlesOfParts>
  <Manager/>
  <Company>HII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i004103</dc:creator>
  <cp:keywords/>
  <dc:description/>
  <cp:lastModifiedBy>Maul, Donald</cp:lastModifiedBy>
  <cp:revision/>
  <dcterms:created xsi:type="dcterms:W3CDTF">2000-09-28T16:11:51Z</dcterms:created>
  <dcterms:modified xsi:type="dcterms:W3CDTF">2023-12-15T16:02:28Z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3ac3a1a-de19-428b-b395-6d250d7743fb_Enabled">
    <vt:lpwstr>true</vt:lpwstr>
  </property>
  <property fmtid="{D5CDD505-2E9C-101B-9397-08002B2CF9AE}" pid="3" name="MSIP_Label_e3ac3a1a-de19-428b-b395-6d250d7743fb_SetDate">
    <vt:lpwstr>2023-10-12T11:38:48Z</vt:lpwstr>
  </property>
  <property fmtid="{D5CDD505-2E9C-101B-9397-08002B2CF9AE}" pid="4" name="MSIP_Label_e3ac3a1a-de19-428b-b395-6d250d7743fb_Method">
    <vt:lpwstr>Standard</vt:lpwstr>
  </property>
  <property fmtid="{D5CDD505-2E9C-101B-9397-08002B2CF9AE}" pid="5" name="MSIP_Label_e3ac3a1a-de19-428b-b395-6d250d7743fb_Name">
    <vt:lpwstr>Internal Use Only</vt:lpwstr>
  </property>
  <property fmtid="{D5CDD505-2E9C-101B-9397-08002B2CF9AE}" pid="6" name="MSIP_Label_e3ac3a1a-de19-428b-b395-6d250d7743fb_SiteId">
    <vt:lpwstr>88cc5fd7-fd78-44b6-ad75-b6915088974f</vt:lpwstr>
  </property>
  <property fmtid="{D5CDD505-2E9C-101B-9397-08002B2CF9AE}" pid="7" name="MSIP_Label_e3ac3a1a-de19-428b-b395-6d250d7743fb_ActionId">
    <vt:lpwstr>f52cb8ea-ba11-47b6-b9f2-6149d49dc5fa</vt:lpwstr>
  </property>
  <property fmtid="{D5CDD505-2E9C-101B-9397-08002B2CF9AE}" pid="8" name="MSIP_Label_e3ac3a1a-de19-428b-b395-6d250d7743fb_ContentBits">
    <vt:lpwstr>0</vt:lpwstr>
  </property>
  <property fmtid="{D5CDD505-2E9C-101B-9397-08002B2CF9AE}" pid="9" name="MSIP_Label_7084cbda-52b8-46fb-a7b7-cb5bd465ed85_Enabled">
    <vt:lpwstr>true</vt:lpwstr>
  </property>
  <property fmtid="{D5CDD505-2E9C-101B-9397-08002B2CF9AE}" pid="10" name="MSIP_Label_7084cbda-52b8-46fb-a7b7-cb5bd465ed85_SetDate">
    <vt:lpwstr>2023-12-15T15:49:37Z</vt:lpwstr>
  </property>
  <property fmtid="{D5CDD505-2E9C-101B-9397-08002B2CF9AE}" pid="11" name="MSIP_Label_7084cbda-52b8-46fb-a7b7-cb5bd465ed85_Method">
    <vt:lpwstr>Standard</vt:lpwstr>
  </property>
  <property fmtid="{D5CDD505-2E9C-101B-9397-08002B2CF9AE}" pid="12" name="MSIP_Label_7084cbda-52b8-46fb-a7b7-cb5bd465ed85_Name">
    <vt:lpwstr>Internal</vt:lpwstr>
  </property>
  <property fmtid="{D5CDD505-2E9C-101B-9397-08002B2CF9AE}" pid="13" name="MSIP_Label_7084cbda-52b8-46fb-a7b7-cb5bd465ed85_SiteId">
    <vt:lpwstr>0afb747d-bff7-4596-a9fc-950ef9e0ec45</vt:lpwstr>
  </property>
  <property fmtid="{D5CDD505-2E9C-101B-9397-08002B2CF9AE}" pid="14" name="MSIP_Label_7084cbda-52b8-46fb-a7b7-cb5bd465ed85_ActionId">
    <vt:lpwstr>c44a83af-448f-44a3-900e-4337c55679f6</vt:lpwstr>
  </property>
  <property fmtid="{D5CDD505-2E9C-101B-9397-08002B2CF9AE}" pid="15" name="MSIP_Label_7084cbda-52b8-46fb-a7b7-cb5bd465ed85_ContentBits">
    <vt:lpwstr>0</vt:lpwstr>
  </property>
</Properties>
</file>