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bill_kettlewell_ercot_com/Documents/Documents/Market Education/1.Production ILTCourses/Resource 301/Delivery/2023/"/>
    </mc:Choice>
  </mc:AlternateContent>
  <xr:revisionPtr revIDLastSave="406" documentId="8_{6ADF559C-06B5-4C90-B47E-7937FBDFAA21}" xr6:coauthVersionLast="47" xr6:coauthVersionMax="47" xr10:uidLastSave="{D6E73CE6-2326-478F-B940-2D7B0C8A809D}"/>
  <bookViews>
    <workbookView xWindow="-120" yWindow="-18120" windowWidth="29040" windowHeight="17640" xr2:uid="{00000000-000D-0000-FFFF-FFFF00000000}"/>
  </bookViews>
  <sheets>
    <sheet name="Linked Inclusive Offers" sheetId="4" r:id="rId1"/>
    <sheet name="IncCalcs" sheetId="5" state="hidden" r:id="rId2"/>
    <sheet name="Linked Exclusive Offers" sheetId="8" r:id="rId3"/>
    <sheet name="ExcCalcs" sheetId="9" state="hidden" r:id="rId4"/>
    <sheet name="Instructor Example" sheetId="2" r:id="rId5"/>
    <sheet name="Breakout Session Example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8" l="1"/>
  <c r="L9" i="4"/>
  <c r="J9" i="8"/>
  <c r="K9" i="8"/>
  <c r="H9" i="8"/>
  <c r="G9" i="8"/>
  <c r="K17" i="8"/>
  <c r="J9" i="4"/>
  <c r="K17" i="4"/>
  <c r="E9" i="9"/>
  <c r="G9" i="4"/>
  <c r="K9" i="4"/>
  <c r="E9" i="5"/>
  <c r="E10" i="5"/>
  <c r="E10" i="9" l="1"/>
  <c r="D4" i="9"/>
  <c r="E11" i="9"/>
  <c r="E12" i="9"/>
  <c r="E11" i="5"/>
  <c r="E7" i="9" l="1"/>
  <c r="D2" i="9"/>
  <c r="L1" i="8"/>
  <c r="D3" i="9" l="1"/>
  <c r="D5" i="9" s="1"/>
  <c r="E8" i="9"/>
  <c r="E6" i="9"/>
  <c r="L1" i="4"/>
  <c r="E12" i="5"/>
  <c r="D2" i="5" l="1"/>
  <c r="E7" i="5" l="1"/>
  <c r="D4" i="5" s="1"/>
  <c r="E8" i="5" l="1"/>
  <c r="D3" i="5"/>
  <c r="D5" i="5" s="1"/>
  <c r="E6" i="5"/>
  <c r="C15" i="3" l="1"/>
  <c r="J14" i="3"/>
  <c r="J13" i="3"/>
  <c r="L5" i="3"/>
  <c r="J5" i="3"/>
  <c r="N5" i="3" l="1"/>
  <c r="J5" i="2"/>
  <c r="C15" i="2"/>
  <c r="J13" i="2"/>
  <c r="J14" i="2"/>
  <c r="L5" i="2"/>
  <c r="N5" i="2" l="1"/>
</calcChain>
</file>

<file path=xl/sharedStrings.xml><?xml version="1.0" encoding="utf-8"?>
<sst xmlns="http://schemas.openxmlformats.org/spreadsheetml/2006/main" count="116" uniqueCount="47">
  <si>
    <t>QSE</t>
  </si>
  <si>
    <t>Product</t>
  </si>
  <si>
    <t>Bid or Offer</t>
  </si>
  <si>
    <t>Location</t>
  </si>
  <si>
    <t>MW</t>
  </si>
  <si>
    <t>Price</t>
  </si>
  <si>
    <t>QSE 1</t>
  </si>
  <si>
    <t>Energy</t>
  </si>
  <si>
    <t>Offer</t>
  </si>
  <si>
    <t>A</t>
  </si>
  <si>
    <t>QSE 2</t>
  </si>
  <si>
    <t>C</t>
  </si>
  <si>
    <t>QSE 3</t>
  </si>
  <si>
    <t>Bid</t>
  </si>
  <si>
    <t>D</t>
  </si>
  <si>
    <t>–</t>
  </si>
  <si>
    <t>=</t>
  </si>
  <si>
    <t>Objective Value</t>
  </si>
  <si>
    <t>QSE 4</t>
  </si>
  <si>
    <t>PTP OBL</t>
  </si>
  <si>
    <t>A to B</t>
  </si>
  <si>
    <t>Bid-based Revenues</t>
  </si>
  <si>
    <t>Offer-based Costs</t>
  </si>
  <si>
    <t>Awarded 
MW</t>
  </si>
  <si>
    <t>Determine Awards that Maximize the Objective Value 
subject to transmission constraints shown below</t>
  </si>
  <si>
    <r>
      <t>SP</t>
    </r>
    <r>
      <rPr>
        <b/>
        <vertAlign val="subscript"/>
        <sz val="14"/>
        <color rgb="FF5B6770"/>
        <rFont val="Arial"/>
        <family val="2"/>
      </rPr>
      <t>demand</t>
    </r>
  </si>
  <si>
    <r>
      <t>SP</t>
    </r>
    <r>
      <rPr>
        <b/>
        <vertAlign val="subscript"/>
        <sz val="14"/>
        <color rgb="FF5B6770"/>
        <rFont val="Arial"/>
        <family val="2"/>
      </rPr>
      <t>Constraint AB</t>
    </r>
  </si>
  <si>
    <t>Possible Award</t>
  </si>
  <si>
    <t>Start-Up &amp; 
Min Energy</t>
  </si>
  <si>
    <t>Responsive</t>
  </si>
  <si>
    <t>Off-Line Non-Spin</t>
  </si>
  <si>
    <t>Yes</t>
  </si>
  <si>
    <t>No</t>
  </si>
  <si>
    <t>Startup &amp; 
Min Energy</t>
  </si>
  <si>
    <t>Ancillary 
Services</t>
  </si>
  <si>
    <t>(LSL)</t>
  </si>
  <si>
    <t>(Headroom)</t>
  </si>
  <si>
    <t>Reg Up</t>
  </si>
  <si>
    <t>Reg Down</t>
  </si>
  <si>
    <t>?</t>
  </si>
  <si>
    <t>Resource
Offer</t>
  </si>
  <si>
    <t>(Gap)</t>
  </si>
  <si>
    <t>On-Line Non-Spin</t>
  </si>
  <si>
    <t>ECRS</t>
  </si>
  <si>
    <t>Reg-Up</t>
  </si>
  <si>
    <t>Reg-Down</t>
  </si>
  <si>
    <t>RRSPF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</si>
</sst>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#,##0&quot; MW&quot;"/>
  </numFmts>
  <fonts count="10" x14ac:knownFonts="1">
    <font>
      <sz val="11"/>
      <color theme="1"/>
      <name val="Calibri"/>
      <family val="2"/>
      <scheme val="minor"/>
    </font>
    <font>
      <b/>
      <sz val="14"/>
      <color rgb="FF5B6770"/>
      <name val="Arial"/>
      <family val="2"/>
    </font>
    <font>
      <b/>
      <sz val="14"/>
      <color rgb="FF5B6770"/>
      <name val="Arial"/>
      <family val="2"/>
    </font>
    <font>
      <b/>
      <i/>
      <sz val="14"/>
      <color theme="1"/>
      <name val="Arial"/>
      <family val="2"/>
    </font>
    <font>
      <sz val="11"/>
      <name val="Calibri"/>
      <family val="2"/>
      <scheme val="minor"/>
    </font>
    <font>
      <b/>
      <vertAlign val="subscript"/>
      <sz val="14"/>
      <color rgb="FF5B6770"/>
      <name val="Arial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CBE3EB"/>
        <bgColor indexed="64"/>
      </patternFill>
    </fill>
    <fill>
      <patternFill patternType="solid">
        <fgColor rgb="FFE7F2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ck">
        <color rgb="FF5B6770"/>
      </left>
      <right style="medium">
        <color rgb="FFFFFFFF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 style="medium">
        <color rgb="FFFFFFFF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 style="thick">
        <color rgb="FF5B6770"/>
      </right>
      <top style="thick">
        <color rgb="FF5B6770"/>
      </top>
      <bottom style="thick">
        <color rgb="FF5B6770"/>
      </bottom>
      <diagonal/>
    </border>
    <border>
      <left style="thick">
        <color rgb="FF5B6770"/>
      </left>
      <right style="medium">
        <color rgb="FFFFFFFF"/>
      </right>
      <top style="thick">
        <color rgb="FF5B677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5B6770"/>
      </top>
      <bottom style="medium">
        <color rgb="FFFFFFFF"/>
      </bottom>
      <diagonal/>
    </border>
    <border>
      <left style="medium">
        <color rgb="FFFFFFFF"/>
      </left>
      <right style="thick">
        <color rgb="FF5B6770"/>
      </right>
      <top style="thick">
        <color rgb="FF5B6770"/>
      </top>
      <bottom style="medium">
        <color rgb="FFFFFFFF"/>
      </bottom>
      <diagonal/>
    </border>
    <border>
      <left style="thick">
        <color rgb="FF5B677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5B6770"/>
      </right>
      <top style="medium">
        <color rgb="FFFFFFFF"/>
      </top>
      <bottom style="medium">
        <color rgb="FFFFFFFF"/>
      </bottom>
      <diagonal/>
    </border>
    <border>
      <left style="thick">
        <color rgb="FF5B6770"/>
      </left>
      <right/>
      <top style="thick">
        <color rgb="FF5B6770"/>
      </top>
      <bottom style="thick">
        <color rgb="FF5B6770"/>
      </bottom>
      <diagonal/>
    </border>
    <border>
      <left/>
      <right/>
      <top style="thick">
        <color rgb="FF5B6770"/>
      </top>
      <bottom style="thick">
        <color rgb="FF5B6770"/>
      </bottom>
      <diagonal/>
    </border>
    <border>
      <left/>
      <right style="thick">
        <color rgb="FF5B6770"/>
      </right>
      <top style="thick">
        <color rgb="FF5B6770"/>
      </top>
      <bottom style="thick">
        <color rgb="FF5B6770"/>
      </bottom>
      <diagonal/>
    </border>
    <border>
      <left style="thick">
        <color rgb="FF5B6770"/>
      </left>
      <right/>
      <top/>
      <bottom/>
      <diagonal/>
    </border>
    <border>
      <left style="thick">
        <color rgb="FF5B677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5B6770"/>
      </right>
      <top style="medium">
        <color rgb="FFFFFFFF"/>
      </top>
      <bottom/>
      <diagonal/>
    </border>
    <border>
      <left/>
      <right style="medium">
        <color rgb="FFFFFFFF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/>
      <top style="thick">
        <color rgb="FF5B6770"/>
      </top>
      <bottom style="thick">
        <color rgb="FF5B6770"/>
      </bottom>
      <diagonal/>
    </border>
    <border>
      <left style="thick">
        <color rgb="FF5B6770"/>
      </left>
      <right style="thick">
        <color theme="0"/>
      </right>
      <top style="thick">
        <color rgb="FF5B6770"/>
      </top>
      <bottom style="thick">
        <color rgb="FF5B6770"/>
      </bottom>
      <diagonal/>
    </border>
    <border>
      <left style="thick">
        <color theme="0"/>
      </left>
      <right style="thick">
        <color theme="0"/>
      </right>
      <top style="thick">
        <color rgb="FF5B6770"/>
      </top>
      <bottom style="thick">
        <color rgb="FF5B6770"/>
      </bottom>
      <diagonal/>
    </border>
    <border>
      <left style="thick">
        <color theme="0"/>
      </left>
      <right style="thick">
        <color rgb="FF5B6770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 style="medium">
        <color theme="1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1"/>
      </right>
      <top style="medium">
        <color rgb="FFFFFFFF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center" vertical="center" wrapText="1" readingOrder="1"/>
    </xf>
    <xf numFmtId="6" fontId="1" fillId="3" borderId="5" xfId="0" applyNumberFormat="1" applyFont="1" applyFill="1" applyBorder="1" applyAlignment="1">
      <alignment horizontal="center" vertical="center" wrapText="1" readingOrder="1"/>
    </xf>
    <xf numFmtId="0" fontId="1" fillId="4" borderId="8" xfId="0" applyFont="1" applyFill="1" applyBorder="1" applyAlignment="1">
      <alignment horizontal="center" vertical="center" wrapText="1" readingOrder="1"/>
    </xf>
    <xf numFmtId="6" fontId="1" fillId="4" borderId="8" xfId="0" applyNumberFormat="1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49" fontId="0" fillId="0" borderId="0" xfId="0" applyNumberFormat="1"/>
    <xf numFmtId="6" fontId="1" fillId="3" borderId="10" xfId="0" applyNumberFormat="1" applyFont="1" applyFill="1" applyBorder="1" applyAlignment="1">
      <alignment horizontal="center" vertical="center" wrapText="1" readingOrder="1"/>
    </xf>
    <xf numFmtId="0" fontId="1" fillId="3" borderId="11" xfId="0" applyFont="1" applyFill="1" applyBorder="1" applyAlignment="1">
      <alignment horizontal="center" vertical="center" wrapText="1" readingOrder="1"/>
    </xf>
    <xf numFmtId="6" fontId="1" fillId="3" borderId="11" xfId="0" applyNumberFormat="1" applyFont="1" applyFill="1" applyBorder="1" applyAlignment="1">
      <alignment horizontal="center" vertical="center" wrapText="1" readingOrder="1"/>
    </xf>
    <xf numFmtId="49" fontId="1" fillId="3" borderId="11" xfId="0" quotePrefix="1" applyNumberFormat="1" applyFont="1" applyFill="1" applyBorder="1" applyAlignment="1">
      <alignment horizontal="center" vertical="center" wrapText="1" readingOrder="1"/>
    </xf>
    <xf numFmtId="6" fontId="1" fillId="3" borderId="12" xfId="0" applyNumberFormat="1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49" fontId="1" fillId="2" borderId="11" xfId="0" quotePrefix="1" applyNumberFormat="1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4" fillId="5" borderId="0" xfId="0" applyFont="1" applyFill="1"/>
    <xf numFmtId="0" fontId="0" fillId="5" borderId="0" xfId="0" applyFill="1"/>
    <xf numFmtId="49" fontId="0" fillId="5" borderId="0" xfId="0" applyNumberFormat="1" applyFill="1"/>
    <xf numFmtId="0" fontId="3" fillId="5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 readingOrder="1"/>
    </xf>
    <xf numFmtId="0" fontId="1" fillId="3" borderId="15" xfId="0" applyFont="1" applyFill="1" applyBorder="1" applyAlignment="1">
      <alignment horizontal="center" vertical="center" wrapText="1" readingOrder="1"/>
    </xf>
    <xf numFmtId="6" fontId="1" fillId="3" borderId="15" xfId="0" applyNumberFormat="1" applyFont="1" applyFill="1" applyBorder="1" applyAlignment="1">
      <alignment horizontal="center" vertical="center" wrapText="1" readingOrder="1"/>
    </xf>
    <xf numFmtId="0" fontId="1" fillId="4" borderId="14" xfId="0" applyFont="1" applyFill="1" applyBorder="1" applyAlignment="1">
      <alignment horizontal="center" vertical="center" wrapText="1" readingOrder="1"/>
    </xf>
    <xf numFmtId="0" fontId="1" fillId="4" borderId="15" xfId="0" applyFont="1" applyFill="1" applyBorder="1" applyAlignment="1">
      <alignment horizontal="center" vertical="center" wrapText="1" readingOrder="1"/>
    </xf>
    <xf numFmtId="6" fontId="1" fillId="4" borderId="15" xfId="0" applyNumberFormat="1" applyFont="1" applyFill="1" applyBorder="1" applyAlignment="1">
      <alignment horizontal="center" vertical="center" wrapText="1" readingOrder="1"/>
    </xf>
    <xf numFmtId="0" fontId="2" fillId="4" borderId="7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 readingOrder="1"/>
    </xf>
    <xf numFmtId="1" fontId="1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/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 readingOrder="1"/>
    </xf>
    <xf numFmtId="0" fontId="2" fillId="4" borderId="14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5" fontId="1" fillId="4" borderId="22" xfId="0" applyNumberFormat="1" applyFont="1" applyFill="1" applyBorder="1" applyAlignment="1" applyProtection="1">
      <alignment horizontal="center" vertical="center" wrapText="1" readingOrder="1"/>
      <protection locked="0"/>
    </xf>
    <xf numFmtId="165" fontId="1" fillId="4" borderId="23" xfId="0" applyNumberFormat="1" applyFont="1" applyFill="1" applyBorder="1" applyAlignment="1" applyProtection="1">
      <alignment horizontal="center" vertical="center" wrapText="1" readingOrder="1"/>
      <protection locked="0"/>
    </xf>
    <xf numFmtId="165" fontId="1" fillId="3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5" borderId="0" xfId="0" applyFill="1" applyBorder="1"/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5" borderId="0" xfId="0" applyFont="1" applyFill="1"/>
    <xf numFmtId="0" fontId="8" fillId="5" borderId="0" xfId="0" applyFont="1" applyFill="1" applyAlignment="1">
      <alignment vertical="top" wrapText="1"/>
    </xf>
    <xf numFmtId="6" fontId="1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 readingOrder="1"/>
    </xf>
    <xf numFmtId="165" fontId="1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7" xfId="0" applyFont="1" applyFill="1" applyBorder="1" applyAlignment="1">
      <alignment horizontal="center" vertical="center" wrapText="1" readingOrder="1"/>
    </xf>
    <xf numFmtId="0" fontId="9" fillId="5" borderId="0" xfId="0" applyFont="1" applyFill="1" applyAlignment="1">
      <alignment horizontal="center" vertical="center" wrapText="1"/>
    </xf>
    <xf numFmtId="164" fontId="1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17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18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 readingOrder="1"/>
    </xf>
    <xf numFmtId="0" fontId="2" fillId="2" borderId="20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36">
    <dxf>
      <font>
        <color theme="8" tint="-0.24994659260841701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5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8" tint="-0.24994659260841701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5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b/>
        <i/>
        <color theme="3"/>
      </font>
      <fill>
        <patternFill>
          <bgColor theme="0"/>
        </patternFill>
      </fill>
    </dxf>
    <dxf>
      <font>
        <b/>
        <i/>
        <color rgb="FF177D4A"/>
      </font>
      <fill>
        <patternFill>
          <bgColor theme="0"/>
        </patternFill>
      </fill>
    </dxf>
    <dxf>
      <font>
        <b/>
        <i/>
        <color theme="5"/>
      </font>
      <fill>
        <patternFill>
          <bgColor theme="0"/>
        </patternFill>
      </fill>
    </dxf>
    <dxf>
      <font>
        <b/>
        <i/>
        <color theme="3"/>
      </font>
      <fill>
        <patternFill>
          <bgColor theme="0"/>
        </patternFill>
      </fill>
    </dxf>
    <dxf>
      <font>
        <b/>
        <i/>
        <color theme="4"/>
      </font>
      <fill>
        <patternFill>
          <bgColor theme="0"/>
        </patternFill>
      </fill>
    </dxf>
    <dxf>
      <font>
        <b/>
        <i/>
        <color theme="4" tint="-0.499984740745262"/>
      </font>
      <fill>
        <patternFill>
          <bgColor theme="0"/>
        </patternFill>
      </fill>
    </dxf>
    <dxf>
      <font>
        <b/>
        <i/>
        <color theme="5" tint="0.39994506668294322"/>
      </font>
      <fill>
        <patternFill>
          <bgColor theme="0"/>
        </patternFill>
      </fill>
    </dxf>
    <dxf>
      <font>
        <b/>
        <i/>
        <color theme="8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b/>
        <i/>
        <color theme="3"/>
      </font>
      <fill>
        <patternFill>
          <bgColor theme="0"/>
        </patternFill>
      </fill>
    </dxf>
    <dxf>
      <font>
        <b/>
        <i/>
        <color theme="3"/>
      </font>
      <fill>
        <patternFill>
          <bgColor theme="0"/>
        </patternFill>
      </fill>
    </dxf>
    <dxf>
      <font>
        <b/>
        <i/>
        <color theme="4"/>
      </font>
      <fill>
        <patternFill>
          <bgColor theme="0"/>
        </patternFill>
      </fill>
    </dxf>
    <dxf>
      <font>
        <b/>
        <i/>
        <color theme="4" tint="-0.499984740745262"/>
      </font>
      <fill>
        <patternFill>
          <bgColor theme="0"/>
        </patternFill>
      </fill>
    </dxf>
    <dxf>
      <font>
        <b/>
        <i/>
        <color theme="5" tint="0.39994506668294322"/>
      </font>
      <fill>
        <patternFill>
          <bgColor theme="0"/>
        </patternFill>
      </fill>
    </dxf>
    <dxf>
      <font>
        <b/>
        <i/>
        <color theme="8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</dxfs>
  <tableStyles count="0" defaultTableStyle="TableStyleMedium2" defaultPivotStyle="PivotStyleLight16"/>
  <colors>
    <mruColors>
      <color rgb="FFE7F2F5"/>
      <color rgb="FFCBE3EB"/>
      <color rgb="FFD0D0CE"/>
      <color rgb="FF177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IncCalcs!$C$2</c:f>
              <c:strCache>
                <c:ptCount val="1"/>
                <c:pt idx="0">
                  <c:v>Startup &amp; 
Min 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Start-Up &amp; Min Energy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IncCalcs!$D$2:$E$2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DC1-BE9B-BACE053B41B2}"/>
            </c:ext>
          </c:extLst>
        </c:ser>
        <c:ser>
          <c:idx val="1"/>
          <c:order val="1"/>
          <c:tx>
            <c:strRef>
              <c:f>IncCalcs!$C$3</c:f>
              <c:strCache>
                <c:ptCount val="1"/>
                <c:pt idx="0">
                  <c:v>?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numFmt formatCode="&quot;- - ? - -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IncCalcs!$D$3:$E$3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F-4DC1-BE9B-BACE053B41B2}"/>
            </c:ext>
          </c:extLst>
        </c:ser>
        <c:ser>
          <c:idx val="2"/>
          <c:order val="2"/>
          <c:tx>
            <c:strRef>
              <c:f>IncCalcs!$C$4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Energy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IncCalcs!$D$4:$E$4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F-4DC1-BE9B-BACE053B41B2}"/>
            </c:ext>
          </c:extLst>
        </c:ser>
        <c:ser>
          <c:idx val="3"/>
          <c:order val="3"/>
          <c:tx>
            <c:strRef>
              <c:f>IncCalcs!$C$5</c:f>
              <c:strCache>
                <c:ptCount val="1"/>
                <c:pt idx="0">
                  <c:v>(Headroom)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IncCalcs!$D$5:$E$5</c:f>
              <c:numCache>
                <c:formatCode>General</c:formatCode>
                <c:ptCount val="2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3F-4DC1-BE9B-BACE053B41B2}"/>
            </c:ext>
          </c:extLst>
        </c:ser>
        <c:ser>
          <c:idx val="4"/>
          <c:order val="4"/>
          <c:tx>
            <c:strRef>
              <c:f>IncCalcs!$C$6</c:f>
              <c:strCache>
                <c:ptCount val="1"/>
                <c:pt idx="0">
                  <c:v>(LSL)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IncCalcs!$D$6:$E$6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3F-4DC1-BE9B-BACE053B41B2}"/>
            </c:ext>
          </c:extLst>
        </c:ser>
        <c:ser>
          <c:idx val="5"/>
          <c:order val="5"/>
          <c:tx>
            <c:strRef>
              <c:f>IncCalcs!$C$7</c:f>
              <c:strCache>
                <c:ptCount val="1"/>
                <c:pt idx="0">
                  <c:v>Reg Down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&quot;Reg-Down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IncCalcs!$D$7:$E$7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3F-4DC1-BE9B-BACE053B41B2}"/>
            </c:ext>
          </c:extLst>
        </c:ser>
        <c:ser>
          <c:idx val="6"/>
          <c:order val="6"/>
          <c:tx>
            <c:strRef>
              <c:f>IncCalcs!$C$8</c:f>
              <c:strCache>
                <c:ptCount val="1"/>
                <c:pt idx="0">
                  <c:v>(Gap)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IncCalcs!$D$8:$E$8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F-4DC1-BE9B-BACE053B41B2}"/>
            </c:ext>
          </c:extLst>
        </c:ser>
        <c:ser>
          <c:idx val="7"/>
          <c:order val="7"/>
          <c:tx>
            <c:strRef>
              <c:f>IncCalcs!$C$9</c:f>
              <c:strCache>
                <c:ptCount val="1"/>
                <c:pt idx="0">
                  <c:v>ECRS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BC-4AEF-BF7C-8410B3B4F1CA}"/>
                </c:ext>
              </c:extLst>
            </c:dLbl>
            <c:numFmt formatCode="&quot;ECRS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IncCalcs!$D$9:$E$9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3F-4DC1-BE9B-BACE053B41B2}"/>
            </c:ext>
          </c:extLst>
        </c:ser>
        <c:ser>
          <c:idx val="8"/>
          <c:order val="8"/>
          <c:tx>
            <c:strRef>
              <c:f>IncCalcs!$C$10</c:f>
              <c:strCache>
                <c:ptCount val="1"/>
                <c:pt idx="0">
                  <c:v>Responsive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&quot;RRSPF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IncCalcs!$D$10:$E$10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3F-4DC1-BE9B-BACE053B41B2}"/>
            </c:ext>
          </c:extLst>
        </c:ser>
        <c:ser>
          <c:idx val="9"/>
          <c:order val="9"/>
          <c:tx>
            <c:strRef>
              <c:f>IncCalcs!$C$11</c:f>
              <c:strCache>
                <c:ptCount val="1"/>
                <c:pt idx="0">
                  <c:v>Reg Up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&quot;Reg-Up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IncCalcs!$D$11:$E$11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3F-4DC1-BE9B-BACE053B41B2}"/>
            </c:ext>
          </c:extLst>
        </c:ser>
        <c:ser>
          <c:idx val="10"/>
          <c:order val="10"/>
          <c:tx>
            <c:strRef>
              <c:f>IncCalcs!$C$12</c:f>
              <c:strCache>
                <c:ptCount val="1"/>
                <c:pt idx="0">
                  <c:v>Off-Line Non-Spin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&quot;Off-Line Non-Spin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IncCalcs!$D$12:$E$12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C-4AEF-BF7C-8410B3B4F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177648"/>
        <c:axId val="686175688"/>
      </c:barChart>
      <c:catAx>
        <c:axId val="68617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6175688"/>
        <c:crosses val="autoZero"/>
        <c:auto val="1"/>
        <c:lblAlgn val="ctr"/>
        <c:lblOffset val="100"/>
        <c:noMultiLvlLbl val="0"/>
      </c:catAx>
      <c:valAx>
        <c:axId val="686175688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20000"/>
                    <a:lumOff val="8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617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3989546165775E-2"/>
          <c:y val="4.8131843351694389E-2"/>
          <c:w val="0.90082551252816856"/>
          <c:h val="0.84696726750408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ExcCalcs!$C$2</c:f>
              <c:strCache>
                <c:ptCount val="1"/>
                <c:pt idx="0">
                  <c:v>Startup &amp; 
Min 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Start-Up &amp; Min Energy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ExcCalcs!$D$2:$E$2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C-43AB-9418-33FF34C74B76}"/>
            </c:ext>
          </c:extLst>
        </c:ser>
        <c:ser>
          <c:idx val="1"/>
          <c:order val="1"/>
          <c:tx>
            <c:strRef>
              <c:f>ExcCalcs!$C$3</c:f>
              <c:strCache>
                <c:ptCount val="1"/>
                <c:pt idx="0">
                  <c:v>?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numFmt formatCode="&quot;- - ? - -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ExcCalcs!$D$3:$E$3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C-43AB-9418-33FF34C74B76}"/>
            </c:ext>
          </c:extLst>
        </c:ser>
        <c:ser>
          <c:idx val="2"/>
          <c:order val="2"/>
          <c:tx>
            <c:strRef>
              <c:f>ExcCalcs!$C$4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Energy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ExcCalcs!$D$4:$E$4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C-43AB-9418-33FF34C74B76}"/>
            </c:ext>
          </c:extLst>
        </c:ser>
        <c:ser>
          <c:idx val="3"/>
          <c:order val="3"/>
          <c:tx>
            <c:strRef>
              <c:f>ExcCalcs!$C$5</c:f>
              <c:strCache>
                <c:ptCount val="1"/>
                <c:pt idx="0">
                  <c:v>(Headroom)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ExcCalcs!$D$5:$E$5</c:f>
              <c:numCache>
                <c:formatCode>General</c:formatCode>
                <c:ptCount val="2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C-43AB-9418-33FF34C74B76}"/>
            </c:ext>
          </c:extLst>
        </c:ser>
        <c:ser>
          <c:idx val="4"/>
          <c:order val="4"/>
          <c:tx>
            <c:strRef>
              <c:f>ExcCalcs!$C$6</c:f>
              <c:strCache>
                <c:ptCount val="1"/>
                <c:pt idx="0">
                  <c:v>(LSL)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ExcCalcs!$D$6:$E$6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C-43AB-9418-33FF34C74B76}"/>
            </c:ext>
          </c:extLst>
        </c:ser>
        <c:ser>
          <c:idx val="5"/>
          <c:order val="5"/>
          <c:tx>
            <c:strRef>
              <c:f>ExcCalcs!$C$7</c:f>
              <c:strCache>
                <c:ptCount val="1"/>
                <c:pt idx="0">
                  <c:v>Reg Down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&quot;Reg-Down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ExcCalcs!$D$7:$E$7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C-43AB-9418-33FF34C74B76}"/>
            </c:ext>
          </c:extLst>
        </c:ser>
        <c:ser>
          <c:idx val="6"/>
          <c:order val="6"/>
          <c:tx>
            <c:strRef>
              <c:f>ExcCalcs!$C$8</c:f>
              <c:strCache>
                <c:ptCount val="1"/>
                <c:pt idx="0">
                  <c:v>(Gap)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ExcCalcs!$D$8:$E$8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0C-43AB-9418-33FF34C74B76}"/>
            </c:ext>
          </c:extLst>
        </c:ser>
        <c:ser>
          <c:idx val="9"/>
          <c:order val="7"/>
          <c:tx>
            <c:strRef>
              <c:f>ExcCalcs!$C$10</c:f>
              <c:strCache>
                <c:ptCount val="1"/>
                <c:pt idx="0">
                  <c:v>On-Line Non-Spin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&quot;Non-Spin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ExcCalcs!$D$10:$E$10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0C-43AB-9418-33FF34C74B76}"/>
            </c:ext>
          </c:extLst>
        </c:ser>
        <c:ser>
          <c:idx val="7"/>
          <c:order val="8"/>
          <c:tx>
            <c:strRef>
              <c:f>ExcCalcs!$C$9</c:f>
              <c:strCache>
                <c:ptCount val="1"/>
                <c:pt idx="0">
                  <c:v>ECRS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&quot;ECRS&quot;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ExcCalcs!$D$9:$E$9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0C-43AB-9418-33FF34C74B76}"/>
            </c:ext>
          </c:extLst>
        </c:ser>
        <c:ser>
          <c:idx val="10"/>
          <c:order val="9"/>
          <c:tx>
            <c:strRef>
              <c:f>ExcCalcs!$C$12</c:f>
              <c:strCache>
                <c:ptCount val="1"/>
                <c:pt idx="0">
                  <c:v>Responsive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&quot;RRSPF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ExcCalcs!$D$12:$E$12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AF8-A8D0-80B20D65BC1B}"/>
            </c:ext>
          </c:extLst>
        </c:ser>
        <c:ser>
          <c:idx val="8"/>
          <c:order val="10"/>
          <c:tx>
            <c:strRef>
              <c:f>ExcCalcs!$C$11</c:f>
              <c:strCache>
                <c:ptCount val="1"/>
                <c:pt idx="0">
                  <c:v>Reg Up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1"/>
              <c:numFmt formatCode="&quot;Reg-Up&quot;;;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2C-415C-8865-223D4C11AF20}"/>
                </c:ext>
              </c:extLst>
            </c:dLbl>
            <c:numFmt formatCode="&quot;Reg Up&quot;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ExcCalcs!$D$1:$E$1</c:f>
              <c:strCache>
                <c:ptCount val="2"/>
                <c:pt idx="0">
                  <c:v>Energy</c:v>
                </c:pt>
                <c:pt idx="1">
                  <c:v>Ancillary 
Services</c:v>
                </c:pt>
              </c:strCache>
            </c:strRef>
          </c:cat>
          <c:val>
            <c:numRef>
              <c:f>ExcCalcs!$D$11:$E$11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0C-43AB-9418-33FF34C74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176472"/>
        <c:axId val="676133744"/>
      </c:barChart>
      <c:catAx>
        <c:axId val="686176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133744"/>
        <c:crosses val="autoZero"/>
        <c:auto val="1"/>
        <c:lblAlgn val="ctr"/>
        <c:lblOffset val="100"/>
        <c:noMultiLvlLbl val="0"/>
      </c:catAx>
      <c:valAx>
        <c:axId val="676133744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20000"/>
                    <a:lumOff val="8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617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513022</xdr:colOff>
      <xdr:row>10</xdr:row>
      <xdr:rowOff>359064</xdr:rowOff>
    </xdr:from>
    <xdr:to>
      <xdr:col>12</xdr:col>
      <xdr:colOff>245571</xdr:colOff>
      <xdr:row>12</xdr:row>
      <xdr:rowOff>16972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500004" y="3851564"/>
          <a:ext cx="12155632" cy="757382"/>
        </a:xfrm>
        <a:prstGeom prst="rect">
          <a:avLst/>
        </a:prstGeom>
        <a:solidFill>
          <a:schemeClr val="tx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513022</xdr:colOff>
      <xdr:row>13</xdr:row>
      <xdr:rowOff>18877</xdr:rowOff>
    </xdr:from>
    <xdr:to>
      <xdr:col>12</xdr:col>
      <xdr:colOff>245571</xdr:colOff>
      <xdr:row>14</xdr:row>
      <xdr:rowOff>245572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500004" y="5188527"/>
          <a:ext cx="12155632" cy="757382"/>
        </a:xfrm>
        <a:prstGeom prst="rect">
          <a:avLst/>
        </a:prstGeom>
        <a:solidFill>
          <a:schemeClr val="tx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629225</xdr:colOff>
      <xdr:row>9</xdr:row>
      <xdr:rowOff>434532</xdr:rowOff>
    </xdr:from>
    <xdr:to>
      <xdr:col>12</xdr:col>
      <xdr:colOff>131271</xdr:colOff>
      <xdr:row>15</xdr:row>
      <xdr:rowOff>321926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101773</xdr:colOff>
      <xdr:row>15</xdr:row>
      <xdr:rowOff>268893</xdr:rowOff>
    </xdr:from>
    <xdr:to>
      <xdr:col>8</xdr:col>
      <xdr:colOff>825326</xdr:colOff>
      <xdr:row>15</xdr:row>
      <xdr:rowOff>513483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55098" y="6479193"/>
          <a:ext cx="723553" cy="244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n>
                <a:noFill/>
              </a:ln>
              <a:solidFill>
                <a:schemeClr val="tx1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LSL</a:t>
          </a:r>
        </a:p>
      </xdr:txBody>
    </xdr:sp>
    <xdr:clientData/>
  </xdr:twoCellAnchor>
  <xdr:twoCellAnchor>
    <xdr:from>
      <xdr:col>11</xdr:col>
      <xdr:colOff>1555058</xdr:colOff>
      <xdr:row>15</xdr:row>
      <xdr:rowOff>246033</xdr:rowOff>
    </xdr:from>
    <xdr:to>
      <xdr:col>12</xdr:col>
      <xdr:colOff>221441</xdr:colOff>
      <xdr:row>15</xdr:row>
      <xdr:rowOff>494433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670983" y="6456333"/>
          <a:ext cx="704733" cy="24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n>
                <a:noFill/>
              </a:ln>
              <a:solidFill>
                <a:schemeClr val="tx1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HSL</a:t>
          </a:r>
        </a:p>
      </xdr:txBody>
    </xdr:sp>
    <xdr:clientData/>
  </xdr:twoCellAnchor>
  <xdr:twoCellAnchor editAs="absolute">
    <xdr:from>
      <xdr:col>0</xdr:col>
      <xdr:colOff>320617</xdr:colOff>
      <xdr:row>0</xdr:row>
      <xdr:rowOff>95078</xdr:rowOff>
    </xdr:from>
    <xdr:to>
      <xdr:col>7</xdr:col>
      <xdr:colOff>94300</xdr:colOff>
      <xdr:row>7</xdr:row>
      <xdr:rowOff>94109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7" y="109683"/>
          <a:ext cx="7113186" cy="2412031"/>
        </a:xfrm>
        <a:prstGeom prst="rect">
          <a:avLst/>
        </a:prstGeom>
      </xdr:spPr>
    </xdr:pic>
    <xdr:clientData/>
  </xdr:twoCellAnchor>
  <xdr:twoCellAnchor editAs="absolute">
    <xdr:from>
      <xdr:col>6</xdr:col>
      <xdr:colOff>551699</xdr:colOff>
      <xdr:row>6</xdr:row>
      <xdr:rowOff>208568</xdr:rowOff>
    </xdr:from>
    <xdr:to>
      <xdr:col>6</xdr:col>
      <xdr:colOff>1731818</xdr:colOff>
      <xdr:row>7</xdr:row>
      <xdr:rowOff>264032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5708534" y="2241203"/>
          <a:ext cx="1180119" cy="394554"/>
          <a:chOff x="5755409" y="2349500"/>
          <a:chExt cx="1171864" cy="396805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5755409" y="2465760"/>
            <a:ext cx="238691" cy="238691"/>
          </a:xfrm>
          <a:prstGeom prst="rect">
            <a:avLst/>
          </a:prstGeom>
          <a:solidFill>
            <a:schemeClr val="tx1">
              <a:lumMod val="20000"/>
              <a:lumOff val="80000"/>
            </a:schemeClr>
          </a:solidFill>
          <a:ln w="12700">
            <a:solidFill>
              <a:schemeClr val="tx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>
              <a:solidFill>
                <a:schemeClr val="tx1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29" name="TextBox 2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5994100" y="2447505"/>
            <a:ext cx="933173" cy="29880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l"/>
            <a:r>
              <a:rPr lang="en-US" sz="1400">
                <a:solidFill>
                  <a:schemeClr val="tx1">
                    <a:lumMod val="20000"/>
                    <a:lumOff val="80000"/>
                  </a:schemeClr>
                </a:solidFill>
              </a:rPr>
              <a:t>Inclusive</a:t>
            </a:r>
          </a:p>
        </xdr:txBody>
      </xdr:sp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55608" y="2349500"/>
            <a:ext cx="298679" cy="335252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296636</xdr:colOff>
      <xdr:row>0</xdr:row>
      <xdr:rowOff>121379</xdr:rowOff>
    </xdr:from>
    <xdr:to>
      <xdr:col>10</xdr:col>
      <xdr:colOff>780530</xdr:colOff>
      <xdr:row>6</xdr:row>
      <xdr:rowOff>283657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D36555-55A5-1E0E-24F3-79C1A97A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9372" y="121379"/>
          <a:ext cx="4038079" cy="2189742"/>
        </a:xfrm>
        <a:prstGeom prst="rect">
          <a:avLst/>
        </a:prstGeom>
      </xdr:spPr>
    </xdr:pic>
    <xdr:clientData/>
  </xdr:twoCellAnchor>
  <xdr:twoCellAnchor editAs="oneCell">
    <xdr:from>
      <xdr:col>10</xdr:col>
      <xdr:colOff>1092200</xdr:colOff>
      <xdr:row>0</xdr:row>
      <xdr:rowOff>120650</xdr:rowOff>
    </xdr:from>
    <xdr:to>
      <xdr:col>12</xdr:col>
      <xdr:colOff>267391</xdr:colOff>
      <xdr:row>6</xdr:row>
      <xdr:rowOff>274382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3F52D7-D446-4657-3278-D1391054A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39575" y="120650"/>
          <a:ext cx="3572566" cy="2182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517467</xdr:colOff>
      <xdr:row>10</xdr:row>
      <xdr:rowOff>358863</xdr:rowOff>
    </xdr:from>
    <xdr:to>
      <xdr:col>12</xdr:col>
      <xdr:colOff>244301</xdr:colOff>
      <xdr:row>12</xdr:row>
      <xdr:rowOff>22520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9427" y="3838864"/>
          <a:ext cx="12142354" cy="753918"/>
        </a:xfrm>
        <a:prstGeom prst="rect">
          <a:avLst/>
        </a:prstGeom>
        <a:solidFill>
          <a:schemeClr val="tx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517467</xdr:colOff>
      <xdr:row>13</xdr:row>
      <xdr:rowOff>16805</xdr:rowOff>
    </xdr:from>
    <xdr:to>
      <xdr:col>12</xdr:col>
      <xdr:colOff>244301</xdr:colOff>
      <xdr:row>14</xdr:row>
      <xdr:rowOff>247911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99427" y="5170632"/>
          <a:ext cx="12142354" cy="755650"/>
        </a:xfrm>
        <a:prstGeom prst="rect">
          <a:avLst/>
        </a:prstGeom>
        <a:solidFill>
          <a:schemeClr val="tx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625415</xdr:colOff>
      <xdr:row>9</xdr:row>
      <xdr:rowOff>434967</xdr:rowOff>
    </xdr:from>
    <xdr:to>
      <xdr:col>12</xdr:col>
      <xdr:colOff>130001</xdr:colOff>
      <xdr:row>15</xdr:row>
      <xdr:rowOff>324265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82723</xdr:colOff>
      <xdr:row>15</xdr:row>
      <xdr:rowOff>274608</xdr:rowOff>
    </xdr:from>
    <xdr:to>
      <xdr:col>8</xdr:col>
      <xdr:colOff>810086</xdr:colOff>
      <xdr:row>15</xdr:row>
      <xdr:rowOff>540153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636048" y="6484908"/>
          <a:ext cx="727363" cy="265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n>
                <a:noFill/>
              </a:ln>
              <a:solidFill>
                <a:schemeClr val="tx1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LSL</a:t>
          </a:r>
        </a:p>
      </xdr:txBody>
    </xdr:sp>
    <xdr:clientData/>
  </xdr:twoCellAnchor>
  <xdr:twoCellAnchor>
    <xdr:from>
      <xdr:col>11</xdr:col>
      <xdr:colOff>1577918</xdr:colOff>
      <xdr:row>15</xdr:row>
      <xdr:rowOff>274608</xdr:rowOff>
    </xdr:from>
    <xdr:to>
      <xdr:col>12</xdr:col>
      <xdr:colOff>238586</xdr:colOff>
      <xdr:row>15</xdr:row>
      <xdr:rowOff>540153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4693843" y="6484908"/>
          <a:ext cx="699018" cy="265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n>
                <a:noFill/>
              </a:ln>
              <a:solidFill>
                <a:schemeClr val="tx1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HSL</a:t>
          </a:r>
        </a:p>
      </xdr:txBody>
    </xdr:sp>
    <xdr:clientData/>
  </xdr:twoCellAnchor>
  <xdr:twoCellAnchor editAs="absolute">
    <xdr:from>
      <xdr:col>0</xdr:col>
      <xdr:colOff>325062</xdr:colOff>
      <xdr:row>0</xdr:row>
      <xdr:rowOff>93808</xdr:rowOff>
    </xdr:from>
    <xdr:to>
      <xdr:col>7</xdr:col>
      <xdr:colOff>97475</xdr:colOff>
      <xdr:row>7</xdr:row>
      <xdr:rowOff>98554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7" y="109683"/>
          <a:ext cx="7108568" cy="2399331"/>
        </a:xfrm>
        <a:prstGeom prst="rect">
          <a:avLst/>
        </a:prstGeom>
      </xdr:spPr>
    </xdr:pic>
    <xdr:clientData/>
  </xdr:twoCellAnchor>
  <xdr:twoCellAnchor editAs="absolute">
    <xdr:from>
      <xdr:col>6</xdr:col>
      <xdr:colOff>556144</xdr:colOff>
      <xdr:row>6</xdr:row>
      <xdr:rowOff>211743</xdr:rowOff>
    </xdr:from>
    <xdr:to>
      <xdr:col>6</xdr:col>
      <xdr:colOff>1754909</xdr:colOff>
      <xdr:row>7</xdr:row>
      <xdr:rowOff>264032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705359" y="2236758"/>
          <a:ext cx="1202575" cy="398999"/>
          <a:chOff x="5755409" y="2349500"/>
          <a:chExt cx="1194955" cy="396805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755409" y="2465760"/>
            <a:ext cx="238691" cy="238691"/>
          </a:xfrm>
          <a:prstGeom prst="rect">
            <a:avLst/>
          </a:prstGeom>
          <a:solidFill>
            <a:schemeClr val="tx1">
              <a:lumMod val="20000"/>
              <a:lumOff val="80000"/>
            </a:schemeClr>
          </a:solidFill>
          <a:ln w="12700">
            <a:solidFill>
              <a:schemeClr val="tx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>
              <a:solidFill>
                <a:schemeClr val="tx1">
                  <a:lumMod val="20000"/>
                  <a:lumOff val="80000"/>
                </a:schemeClr>
              </a:solidFill>
            </a:endParaRPr>
          </a:p>
        </xdr:txBody>
      </xdr:sp>
      <xdr:sp macro="" textlink="">
        <xdr:nvSpPr>
          <xdr:cNvPr id="12" name="TextBox 20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5994100" y="2447505"/>
            <a:ext cx="956264" cy="29880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l"/>
            <a:r>
              <a:rPr lang="en-US" sz="1400">
                <a:solidFill>
                  <a:schemeClr val="tx1">
                    <a:lumMod val="20000"/>
                    <a:lumOff val="80000"/>
                  </a:schemeClr>
                </a:solidFill>
              </a:rPr>
              <a:t>Exclusive</a:t>
            </a: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55608" y="2349500"/>
            <a:ext cx="298679" cy="335252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1102668</xdr:colOff>
      <xdr:row>0</xdr:row>
      <xdr:rowOff>116712</xdr:rowOff>
    </xdr:from>
    <xdr:to>
      <xdr:col>12</xdr:col>
      <xdr:colOff>286114</xdr:colOff>
      <xdr:row>6</xdr:row>
      <xdr:rowOff>279969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E10758-6022-4446-B97B-79D7913CA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59158" y="116712"/>
          <a:ext cx="3575762" cy="2185998"/>
        </a:xfrm>
        <a:prstGeom prst="rect">
          <a:avLst/>
        </a:prstGeom>
      </xdr:spPr>
    </xdr:pic>
    <xdr:clientData/>
  </xdr:twoCellAnchor>
  <xdr:twoCellAnchor editAs="oneCell">
    <xdr:from>
      <xdr:col>7</xdr:col>
      <xdr:colOff>306981</xdr:colOff>
      <xdr:row>0</xdr:row>
      <xdr:rowOff>114476</xdr:rowOff>
    </xdr:from>
    <xdr:to>
      <xdr:col>10</xdr:col>
      <xdr:colOff>783841</xdr:colOff>
      <xdr:row>6</xdr:row>
      <xdr:rowOff>283329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1D1C828-4CD8-5348-E3A3-851AF1B0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03648" y="114476"/>
          <a:ext cx="4035655" cy="2185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</xdr:colOff>
      <xdr:row>14</xdr:row>
      <xdr:rowOff>298450</xdr:rowOff>
    </xdr:from>
    <xdr:to>
      <xdr:col>9</xdr:col>
      <xdr:colOff>473824</xdr:colOff>
      <xdr:row>14</xdr:row>
      <xdr:rowOff>667782</xdr:rowOff>
    </xdr:to>
    <xdr:sp macro="" textlink="">
      <xdr:nvSpPr>
        <xdr:cNvPr id="11" name="TextBox 4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6146800" y="6280150"/>
          <a:ext cx="189622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1pPr>
          <a:lvl2pPr marL="4572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2pPr>
          <a:lvl3pPr marL="9144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3pPr>
          <a:lvl4pPr marL="13716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4pPr>
          <a:lvl5pPr marL="18288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5pPr>
          <a:lvl6pPr marL="22860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6pPr>
          <a:lvl7pPr marL="27432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7pPr>
          <a:lvl8pPr marL="32004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8pPr>
          <a:lvl9pPr marL="36576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9pPr>
        </a:lstStyle>
        <a:p>
          <a:pPr algn="l"/>
          <a:r>
            <a:rPr lang="en-US">
              <a:solidFill>
                <a:schemeClr val="bg1"/>
              </a:solidFill>
            </a:rPr>
            <a:t>Reference Bus</a:t>
          </a:r>
        </a:p>
      </xdr:txBody>
    </xdr:sp>
    <xdr:clientData/>
  </xdr:twoCellAnchor>
  <xdr:twoCellAnchor>
    <xdr:from>
      <xdr:col>6</xdr:col>
      <xdr:colOff>241300</xdr:colOff>
      <xdr:row>14</xdr:row>
      <xdr:rowOff>483116</xdr:rowOff>
    </xdr:from>
    <xdr:to>
      <xdr:col>7</xdr:col>
      <xdr:colOff>69850</xdr:colOff>
      <xdr:row>14</xdr:row>
      <xdr:rowOff>488950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stCxn id="11" idx="1"/>
        </xdr:cNvCxnSpPr>
      </xdr:nvCxnSpPr>
      <xdr:spPr>
        <a:xfrm flipH="1">
          <a:off x="5365750" y="6464816"/>
          <a:ext cx="781050" cy="5834"/>
        </a:xfrm>
        <a:prstGeom prst="straightConnector1">
          <a:avLst/>
        </a:prstGeom>
        <a:noFill/>
        <a:ln w="38100" cap="flat" cmpd="sng" algn="ctr">
          <a:solidFill>
            <a:schemeClr val="bg1"/>
          </a:solidFill>
          <a:prstDash val="solid"/>
          <a:miter lim="800000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234950</xdr:colOff>
      <xdr:row>9</xdr:row>
      <xdr:rowOff>114300</xdr:rowOff>
    </xdr:from>
    <xdr:to>
      <xdr:col>6</xdr:col>
      <xdr:colOff>674230</xdr:colOff>
      <xdr:row>15</xdr:row>
      <xdr:rowOff>130586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400" y="3511550"/>
          <a:ext cx="4249280" cy="32738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</xdr:colOff>
      <xdr:row>14</xdr:row>
      <xdr:rowOff>298450</xdr:rowOff>
    </xdr:from>
    <xdr:to>
      <xdr:col>9</xdr:col>
      <xdr:colOff>473824</xdr:colOff>
      <xdr:row>14</xdr:row>
      <xdr:rowOff>667782</xdr:rowOff>
    </xdr:to>
    <xdr:sp macro="" textlink="">
      <xdr:nvSpPr>
        <xdr:cNvPr id="18" name="TextBox 4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6146800" y="6280150"/>
          <a:ext cx="189622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1pPr>
          <a:lvl2pPr marL="4572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2pPr>
          <a:lvl3pPr marL="9144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3pPr>
          <a:lvl4pPr marL="13716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4pPr>
          <a:lvl5pPr marL="18288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5pPr>
          <a:lvl6pPr marL="22860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6pPr>
          <a:lvl7pPr marL="27432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7pPr>
          <a:lvl8pPr marL="32004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8pPr>
          <a:lvl9pPr marL="3657600" algn="l" defTabSz="914400" rtl="0" eaLnBrk="1" latinLnBrk="0" hangingPunct="1">
            <a:defRPr sz="1800" kern="1200">
              <a:solidFill>
                <a:srgbClr val="5B6770"/>
              </a:solidFill>
              <a:latin typeface="Arial" panose="020B0604020202020204"/>
            </a:defRPr>
          </a:lvl9pPr>
        </a:lstStyle>
        <a:p>
          <a:pPr algn="l"/>
          <a:r>
            <a:rPr lang="en-US">
              <a:solidFill>
                <a:schemeClr val="bg1"/>
              </a:solidFill>
            </a:rPr>
            <a:t>Reference Bus</a:t>
          </a:r>
        </a:p>
      </xdr:txBody>
    </xdr:sp>
    <xdr:clientData/>
  </xdr:twoCellAnchor>
  <xdr:twoCellAnchor>
    <xdr:from>
      <xdr:col>6</xdr:col>
      <xdr:colOff>241300</xdr:colOff>
      <xdr:row>14</xdr:row>
      <xdr:rowOff>483116</xdr:rowOff>
    </xdr:from>
    <xdr:to>
      <xdr:col>7</xdr:col>
      <xdr:colOff>69850</xdr:colOff>
      <xdr:row>14</xdr:row>
      <xdr:rowOff>488950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stCxn id="18" idx="1"/>
        </xdr:cNvCxnSpPr>
      </xdr:nvCxnSpPr>
      <xdr:spPr>
        <a:xfrm flipH="1">
          <a:off x="5365750" y="6464816"/>
          <a:ext cx="781050" cy="5834"/>
        </a:xfrm>
        <a:prstGeom prst="straightConnector1">
          <a:avLst/>
        </a:prstGeom>
        <a:noFill/>
        <a:ln w="38100" cap="flat" cmpd="sng" algn="ctr">
          <a:solidFill>
            <a:schemeClr val="bg1"/>
          </a:solidFill>
          <a:prstDash val="solid"/>
          <a:miter lim="800000"/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234950</xdr:colOff>
      <xdr:row>9</xdr:row>
      <xdr:rowOff>114300</xdr:rowOff>
    </xdr:from>
    <xdr:to>
      <xdr:col>6</xdr:col>
      <xdr:colOff>677405</xdr:colOff>
      <xdr:row>15</xdr:row>
      <xdr:rowOff>130586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400" y="3511550"/>
          <a:ext cx="4249280" cy="327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ustom Design">
  <a:themeElements>
    <a:clrScheme name="ERCOT Market Training">
      <a:dk1>
        <a:srgbClr val="5B6770"/>
      </a:dk1>
      <a:lt1>
        <a:sysClr val="window" lastClr="FFFFFF"/>
      </a:lt1>
      <a:dk2>
        <a:srgbClr val="003865"/>
      </a:dk2>
      <a:lt2>
        <a:srgbClr val="E7E6E6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0563C1"/>
      </a:hlink>
      <a:folHlink>
        <a:srgbClr val="890C5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2"/>
  <sheetViews>
    <sheetView tabSelected="1" zoomScaleNormal="100" workbookViewId="0"/>
  </sheetViews>
  <sheetFormatPr defaultRowHeight="14.4" x14ac:dyDescent="0.3"/>
  <cols>
    <col min="1" max="1" width="5.21875" customWidth="1"/>
    <col min="2" max="2" width="23.77734375" customWidth="1"/>
    <col min="3" max="5" width="13.6640625" customWidth="1"/>
    <col min="6" max="6" width="5.21875" customWidth="1"/>
    <col min="7" max="7" width="29.6640625" customWidth="1"/>
    <col min="8" max="8" width="5.21875" customWidth="1"/>
    <col min="9" max="9" width="16.88671875" customWidth="1"/>
    <col min="10" max="10" width="29.6640625" customWidth="1"/>
    <col min="11" max="11" width="34.44140625" customWidth="1"/>
    <col min="12" max="12" width="29.6640625" customWidth="1"/>
    <col min="16" max="16" width="8.77734375" customWidth="1"/>
  </cols>
  <sheetData>
    <row r="1" spans="1:2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55" t="str">
        <f>IF(C12=1,"yes",IF(C13=1,"no",""))</f>
        <v/>
      </c>
      <c r="M1" s="20"/>
      <c r="N1" s="20"/>
      <c r="O1" s="20"/>
      <c r="P1" s="20"/>
      <c r="Q1" s="20"/>
      <c r="R1" s="20"/>
      <c r="S1" s="20"/>
      <c r="T1" s="20"/>
      <c r="U1" s="20"/>
    </row>
    <row r="2" spans="1:21" ht="19.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56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4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7.4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7.45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7.45" customHeigh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7.4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30" customHeigh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15" customHeight="1" thickBot="1" x14ac:dyDescent="0.35">
      <c r="A9" s="20"/>
      <c r="B9" s="20"/>
      <c r="C9" s="20"/>
      <c r="D9" s="20"/>
      <c r="E9" s="20"/>
      <c r="F9" s="20"/>
      <c r="G9" s="64" t="str">
        <f>IF(AND(C11="NO",OR(C12&lt;&gt;0,C13&lt;&gt;0,C14&lt;&gt;0,C16&lt;&gt;0,C15&lt;&gt;0)),"Must start Resource for anything but
Off-Line Non-Spin",IF(AND(C11="yes",C17&lt;&gt;0),"DAM won't clear both
Three-Part Offer and
Off-line Non-Spin", ""))</f>
        <v/>
      </c>
      <c r="H9" s="20"/>
      <c r="I9" s="20"/>
      <c r="J9" s="64" t="str">
        <f>IF(C16&gt;120,"ECRS limit for this 
Resource is 120MW", "")</f>
        <v/>
      </c>
      <c r="K9" s="64" t="str">
        <f>IF(OR(C13&gt;30,C14&gt;30),"DAM can't clear more Regulation than offered","")</f>
        <v/>
      </c>
      <c r="L9" s="64" t="str">
        <f>IF(C15&gt;60,"RRSPF limit for this 
Resource is 60MW", "")</f>
        <v/>
      </c>
      <c r="M9" s="20"/>
      <c r="N9" s="20"/>
      <c r="O9" s="20"/>
      <c r="P9" s="20"/>
      <c r="Q9" s="20"/>
      <c r="R9" s="20"/>
      <c r="S9" s="20"/>
      <c r="T9" s="20"/>
      <c r="U9" s="20"/>
    </row>
    <row r="10" spans="1:21" ht="40.049999999999997" customHeight="1" thickTop="1" thickBot="1" x14ac:dyDescent="0.35">
      <c r="A10" s="20"/>
      <c r="B10" s="45" t="s">
        <v>40</v>
      </c>
      <c r="C10" s="2" t="s">
        <v>27</v>
      </c>
      <c r="D10" s="42"/>
      <c r="E10" s="49"/>
      <c r="F10" s="20"/>
      <c r="G10" s="64"/>
      <c r="H10" s="20"/>
      <c r="I10" s="20"/>
      <c r="J10" s="64"/>
      <c r="K10" s="64"/>
      <c r="L10" s="64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43.5" customHeight="1" thickTop="1" thickBot="1" x14ac:dyDescent="0.35">
      <c r="A11" s="20"/>
      <c r="B11" s="43" t="s">
        <v>28</v>
      </c>
      <c r="C11" s="57" t="s">
        <v>32</v>
      </c>
      <c r="D11" s="42"/>
      <c r="E11" s="4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43.5" customHeight="1" thickBot="1" x14ac:dyDescent="0.35">
      <c r="A12" s="20"/>
      <c r="B12" s="44" t="s">
        <v>7</v>
      </c>
      <c r="C12" s="47">
        <v>0</v>
      </c>
      <c r="D12" s="20"/>
      <c r="E12" s="4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43.5" customHeight="1" thickBot="1" x14ac:dyDescent="0.35">
      <c r="A13" s="20"/>
      <c r="B13" s="23" t="s">
        <v>44</v>
      </c>
      <c r="C13" s="48">
        <v>0</v>
      </c>
      <c r="D13" s="20"/>
      <c r="E13" s="49"/>
      <c r="F13" s="54"/>
      <c r="G13" s="54"/>
      <c r="H13" s="5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43.5" customHeight="1" thickBot="1" x14ac:dyDescent="0.35">
      <c r="A14" s="20"/>
      <c r="B14" s="63" t="s">
        <v>45</v>
      </c>
      <c r="C14" s="46">
        <v>0</v>
      </c>
      <c r="D14" s="20"/>
      <c r="E14" s="4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43.5" customHeight="1" thickBot="1" x14ac:dyDescent="0.35">
      <c r="A15" s="20"/>
      <c r="B15" s="23" t="s">
        <v>46</v>
      </c>
      <c r="C15" s="48">
        <v>0</v>
      </c>
      <c r="D15" s="20"/>
      <c r="E15" s="4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43.5" customHeight="1" thickBot="1" x14ac:dyDescent="0.35">
      <c r="A16" s="20"/>
      <c r="B16" s="26" t="s">
        <v>43</v>
      </c>
      <c r="C16" s="47">
        <v>0</v>
      </c>
      <c r="D16" s="20"/>
      <c r="E16" s="4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43.5" customHeight="1" thickBot="1" x14ac:dyDescent="0.35">
      <c r="A17" s="20"/>
      <c r="B17" s="61" t="s">
        <v>30</v>
      </c>
      <c r="C17" s="62">
        <v>0</v>
      </c>
      <c r="D17" s="20"/>
      <c r="E17" s="49"/>
      <c r="F17" s="20"/>
      <c r="G17" s="20"/>
      <c r="H17" s="20"/>
      <c r="I17" s="20"/>
      <c r="J17" s="20"/>
      <c r="K17" s="59" t="str">
        <f>IF(OR(C13+C14+C16+C15&gt;200,C12+C13+C16+C15&gt;200,C17&gt;300),"Total award must not exceed HSL", "")</f>
        <v/>
      </c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51" customFormat="1" ht="25.05" customHeight="1" x14ac:dyDescent="0.3">
      <c r="A18" s="50"/>
      <c r="B18" s="50"/>
      <c r="C18" s="50">
        <v>30</v>
      </c>
      <c r="D18" s="50"/>
      <c r="E18" s="50"/>
      <c r="F18" s="50"/>
      <c r="G18" s="50"/>
      <c r="H18" s="50"/>
      <c r="I18" s="50"/>
      <c r="J18" s="50"/>
      <c r="K18" s="59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1:21" ht="27.4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27.45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17.399999999999999" x14ac:dyDescent="0.3">
      <c r="A22" s="20"/>
      <c r="B22" s="20"/>
      <c r="C22" s="20"/>
      <c r="D22" s="20"/>
      <c r="E22" s="4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17.399999999999999" x14ac:dyDescent="0.3">
      <c r="A23" s="20"/>
      <c r="B23" s="20"/>
      <c r="C23" s="20"/>
      <c r="D23" s="20"/>
      <c r="E23" s="4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17.399999999999999" x14ac:dyDescent="0.3">
      <c r="A24" s="20"/>
      <c r="B24" s="20"/>
      <c r="C24" s="41"/>
      <c r="D24" s="41"/>
      <c r="E24" s="4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17.399999999999999" x14ac:dyDescent="0.3">
      <c r="A25" s="20"/>
      <c r="B25" s="20"/>
      <c r="C25" s="20"/>
      <c r="D25" s="40"/>
      <c r="E25" s="4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7.399999999999999" x14ac:dyDescent="0.3">
      <c r="A26" s="20"/>
      <c r="B26" s="20"/>
      <c r="C26" s="20"/>
      <c r="D26" s="4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17.399999999999999" x14ac:dyDescent="0.3">
      <c r="A27" s="20"/>
      <c r="B27" s="20"/>
      <c r="C27" s="20"/>
      <c r="D27" s="4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62.44999999999999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sheetProtection sheet="1" objects="1" scenarios="1"/>
  <mergeCells count="4">
    <mergeCell ref="L9:L10"/>
    <mergeCell ref="J9:J10"/>
    <mergeCell ref="G9:G10"/>
    <mergeCell ref="K9:K10"/>
  </mergeCells>
  <conditionalFormatting sqref="D10:D11">
    <cfRule type="containsText" dxfId="35" priority="493" operator="containsText" text="must equal">
      <formula>NOT(ISERROR(SEARCH("must equal",D10)))</formula>
    </cfRule>
    <cfRule type="containsText" dxfId="34" priority="494" operator="containsText" text="balanced">
      <formula>NOT(ISERROR(SEARCH("balanced",D10)))</formula>
    </cfRule>
  </conditionalFormatting>
  <conditionalFormatting sqref="C24 D25:D27">
    <cfRule type="containsText" dxfId="33" priority="487" operator="containsText" text="overloaded">
      <formula>NOT(ISERROR(SEARCH("overloaded",C24)))</formula>
    </cfRule>
  </conditionalFormatting>
  <conditionalFormatting sqref="L9">
    <cfRule type="containsText" dxfId="32" priority="8" operator="containsText" text="limit">
      <formula>NOT(ISERROR(SEARCH("limit",L9)))</formula>
    </cfRule>
  </conditionalFormatting>
  <conditionalFormatting sqref="J9:J10">
    <cfRule type="containsText" dxfId="31" priority="6" operator="containsText" text="limit">
      <formula>NOT(ISERROR(SEARCH("limit",J9)))</formula>
    </cfRule>
  </conditionalFormatting>
  <conditionalFormatting sqref="G9:G10">
    <cfRule type="containsText" dxfId="30" priority="3" operator="containsText" text="Won't">
      <formula>NOT(ISERROR(SEARCH("Won't",G9)))</formula>
    </cfRule>
    <cfRule type="containsText" dxfId="29" priority="5" operator="containsText" text="Must">
      <formula>NOT(ISERROR(SEARCH("Must",G9)))</formula>
    </cfRule>
  </conditionalFormatting>
  <conditionalFormatting sqref="K9:K10">
    <cfRule type="containsText" dxfId="28" priority="2" operator="containsText" text="can't">
      <formula>NOT(ISERROR(SEARCH("can't",K9)))</formula>
    </cfRule>
  </conditionalFormatting>
  <conditionalFormatting sqref="K17:K18">
    <cfRule type="containsText" dxfId="27" priority="1" operator="containsText" text="Total">
      <formula>NOT(ISERROR(SEARCH("Total",K17)))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choose whether or not to start the Resource" xr:uid="{00000000-0002-0000-0000-000000000000}">
          <x14:formula1>
            <xm:f>IncCalcs!A1:A2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2"/>
  <sheetViews>
    <sheetView workbookViewId="0">
      <selection activeCell="C9" sqref="C9:E9"/>
    </sheetView>
  </sheetViews>
  <sheetFormatPr defaultRowHeight="14.4" x14ac:dyDescent="0.3"/>
  <cols>
    <col min="2" max="2" width="15.5546875" customWidth="1"/>
    <col min="3" max="3" width="11.77734375" customWidth="1"/>
    <col min="4" max="7" width="10.6640625" customWidth="1"/>
  </cols>
  <sheetData>
    <row r="1" spans="1:5" ht="28.8" x14ac:dyDescent="0.3">
      <c r="A1" s="60" t="s">
        <v>31</v>
      </c>
      <c r="D1" t="s">
        <v>7</v>
      </c>
      <c r="E1" s="52" t="s">
        <v>34</v>
      </c>
    </row>
    <row r="2" spans="1:5" ht="28.8" x14ac:dyDescent="0.3">
      <c r="A2" s="60" t="s">
        <v>32</v>
      </c>
      <c r="C2" s="52" t="s">
        <v>33</v>
      </c>
      <c r="D2">
        <f>IF('Linked Inclusive Offers'!C11="yes",100,0)</f>
        <v>0</v>
      </c>
    </row>
    <row r="3" spans="1:5" x14ac:dyDescent="0.3">
      <c r="C3" s="52" t="s">
        <v>39</v>
      </c>
      <c r="D3">
        <f>IF(AND('Linked Inclusive Offers'!C11="no",OR(D4&lt;&gt;0,E7&lt;&gt;0,E9&lt;&gt;0,E10&lt;&gt;0,E11&lt;&gt;0)),100,0)</f>
        <v>0</v>
      </c>
    </row>
    <row r="4" spans="1:5" x14ac:dyDescent="0.3">
      <c r="C4" s="52" t="s">
        <v>7</v>
      </c>
      <c r="D4">
        <f>MAX(MIN(IF('Linked Inclusive Offers'!$C$12="",0,'Linked Inclusive Offers'!$C$12),200),E7)</f>
        <v>0</v>
      </c>
    </row>
    <row r="5" spans="1:5" x14ac:dyDescent="0.3">
      <c r="C5" s="52" t="s">
        <v>36</v>
      </c>
      <c r="D5">
        <f>MAX(300-D4-D3-D2,0)</f>
        <v>300</v>
      </c>
    </row>
    <row r="6" spans="1:5" x14ac:dyDescent="0.3">
      <c r="C6" s="52" t="s">
        <v>35</v>
      </c>
      <c r="E6">
        <f>IF(OR(D4&lt;&gt;0,E7&lt;&gt;0,E9&lt;&gt;0,E10&lt;&gt;0,E11&lt;&gt;0),100,0)</f>
        <v>0</v>
      </c>
    </row>
    <row r="7" spans="1:5" x14ac:dyDescent="0.3">
      <c r="C7" t="s">
        <v>38</v>
      </c>
      <c r="E7">
        <f>'Linked Inclusive Offers'!$C$14</f>
        <v>0</v>
      </c>
    </row>
    <row r="8" spans="1:5" x14ac:dyDescent="0.3">
      <c r="C8" s="52" t="s">
        <v>41</v>
      </c>
      <c r="E8">
        <f>IF(OR(D4&lt;&gt;0,E7&lt;&gt;0,E9&lt;&gt;0,E10&lt;&gt;0,E11&lt;&gt;0),200-E11-E10-E9-E7,0)</f>
        <v>0</v>
      </c>
    </row>
    <row r="9" spans="1:5" x14ac:dyDescent="0.3">
      <c r="C9" s="52" t="s">
        <v>43</v>
      </c>
      <c r="E9">
        <f>'Linked Inclusive Offers'!$C$16</f>
        <v>0</v>
      </c>
    </row>
    <row r="10" spans="1:5" x14ac:dyDescent="0.3">
      <c r="C10" t="s">
        <v>29</v>
      </c>
      <c r="E10">
        <f>'Linked Inclusive Offers'!$C$15</f>
        <v>0</v>
      </c>
    </row>
    <row r="11" spans="1:5" x14ac:dyDescent="0.3">
      <c r="C11" t="s">
        <v>37</v>
      </c>
      <c r="E11">
        <f>'Linked Inclusive Offers'!$C$13</f>
        <v>0</v>
      </c>
    </row>
    <row r="12" spans="1:5" x14ac:dyDescent="0.3">
      <c r="C12" t="s">
        <v>30</v>
      </c>
      <c r="E12">
        <f>IF('Linked Inclusive Offers'!C11="no",'Linked Inclusive Offers'!$C$17,0)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2"/>
  <sheetViews>
    <sheetView zoomScaleNormal="100" workbookViewId="0">
      <selection activeCell="E20" sqref="E20"/>
    </sheetView>
  </sheetViews>
  <sheetFormatPr defaultRowHeight="14.4" x14ac:dyDescent="0.3"/>
  <cols>
    <col min="1" max="1" width="5.21875" customWidth="1"/>
    <col min="2" max="2" width="23.77734375" customWidth="1"/>
    <col min="3" max="5" width="13.6640625" customWidth="1"/>
    <col min="6" max="6" width="5.21875" customWidth="1"/>
    <col min="7" max="7" width="29.6640625" customWidth="1"/>
    <col min="8" max="8" width="5.21875" customWidth="1"/>
    <col min="9" max="9" width="16.88671875" customWidth="1"/>
    <col min="10" max="10" width="29.6640625" customWidth="1"/>
    <col min="11" max="11" width="34.44140625" customWidth="1"/>
    <col min="12" max="12" width="29.6640625" customWidth="1"/>
    <col min="16" max="16" width="8.77734375" customWidth="1"/>
  </cols>
  <sheetData>
    <row r="1" spans="1:2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55" t="str">
        <f>IF(C12=1,"yes",IF(C13=1,"no",""))</f>
        <v/>
      </c>
      <c r="M1" s="20"/>
      <c r="N1" s="20"/>
      <c r="O1" s="20"/>
      <c r="P1" s="20"/>
      <c r="Q1" s="20"/>
      <c r="R1" s="20"/>
      <c r="S1" s="20"/>
      <c r="T1" s="20"/>
      <c r="U1" s="20"/>
    </row>
    <row r="2" spans="1:21" ht="19.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56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4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7.4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7.45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7.45" customHeigh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7.4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30" customHeight="1" x14ac:dyDescent="0.3">
      <c r="A8" s="20"/>
      <c r="B8" s="20"/>
      <c r="C8" s="20"/>
      <c r="D8" s="20"/>
      <c r="E8" s="20"/>
      <c r="F8" s="20"/>
      <c r="G8" s="20"/>
      <c r="H8" s="20"/>
      <c r="I8" s="20"/>
      <c r="J8" s="5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15" customHeight="1" thickBot="1" x14ac:dyDescent="0.35">
      <c r="A9" s="20"/>
      <c r="B9" s="20"/>
      <c r="C9" s="20"/>
      <c r="D9" s="20"/>
      <c r="E9" s="20"/>
      <c r="F9" s="20"/>
      <c r="G9" s="64" t="str">
        <f>IF(AND(C11="NO",OR(C12&lt;&gt;0,C13&lt;&gt;0,C14&lt;&gt;0,C16&lt;&gt;0,C15&lt;&gt;0,C17&lt;&gt;0)),"Must start Resource 
to clear any of 
these offers","")</f>
        <v/>
      </c>
      <c r="H9" s="64" t="str">
        <f>IF(AND(C12&lt;&gt;0,OR(C13&lt;&gt;0,C14&lt;&gt;0,C16&lt;&gt;0,C15&lt;&gt;0,C17&lt;&gt;0))," DAM can't award both Energy and AS","")</f>
        <v/>
      </c>
      <c r="I9" s="64"/>
      <c r="J9" s="64" t="str">
        <f>IF(C17&gt;200, "DAM can't clear more Non-Spin than offered",IF(C16&gt;120,"ECRS limit for this 
Resource is 120MW", ""))</f>
        <v/>
      </c>
      <c r="K9" s="64" t="str">
        <f>IF(OR(C13&gt;30,C14&gt;30),"DAM can't clear more Regulation than offered","")</f>
        <v/>
      </c>
      <c r="L9" s="64" t="str">
        <f>IF(C15&gt;60,"RRSPF limit for this 
Resource is 60MW", "")</f>
        <v/>
      </c>
      <c r="M9" s="20"/>
      <c r="N9" s="20"/>
      <c r="O9" s="20"/>
      <c r="P9" s="20"/>
      <c r="Q9" s="20"/>
      <c r="R9" s="20"/>
      <c r="S9" s="20"/>
      <c r="T9" s="20"/>
      <c r="U9" s="20"/>
    </row>
    <row r="10" spans="1:21" ht="40.049999999999997" customHeight="1" thickTop="1" thickBot="1" x14ac:dyDescent="0.35">
      <c r="A10" s="20"/>
      <c r="B10" s="45" t="s">
        <v>40</v>
      </c>
      <c r="C10" s="2" t="s">
        <v>27</v>
      </c>
      <c r="D10" s="42"/>
      <c r="E10" s="49"/>
      <c r="F10" s="20"/>
      <c r="G10" s="64"/>
      <c r="H10" s="64"/>
      <c r="I10" s="64"/>
      <c r="J10" s="64"/>
      <c r="K10" s="64"/>
      <c r="L10" s="64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43.5" customHeight="1" thickTop="1" thickBot="1" x14ac:dyDescent="0.35">
      <c r="A11" s="20"/>
      <c r="B11" s="43" t="s">
        <v>28</v>
      </c>
      <c r="C11" s="57" t="s">
        <v>32</v>
      </c>
      <c r="D11" s="42"/>
      <c r="E11" s="4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43.5" customHeight="1" thickBot="1" x14ac:dyDescent="0.35">
      <c r="A12" s="20"/>
      <c r="B12" s="44" t="s">
        <v>7</v>
      </c>
      <c r="C12" s="47">
        <v>0</v>
      </c>
      <c r="D12" s="20"/>
      <c r="E12" s="4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43.5" customHeight="1" thickBot="1" x14ac:dyDescent="0.35">
      <c r="A13" s="20"/>
      <c r="B13" s="23" t="s">
        <v>44</v>
      </c>
      <c r="C13" s="48">
        <v>0</v>
      </c>
      <c r="D13" s="20"/>
      <c r="E13" s="49"/>
      <c r="F13" s="54"/>
      <c r="G13" s="54"/>
      <c r="H13" s="5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43.5" customHeight="1" thickBot="1" x14ac:dyDescent="0.35">
      <c r="A14" s="20"/>
      <c r="B14" s="63" t="s">
        <v>45</v>
      </c>
      <c r="C14" s="46">
        <v>0</v>
      </c>
      <c r="D14" s="20"/>
      <c r="E14" s="4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43.5" customHeight="1" thickBot="1" x14ac:dyDescent="0.35">
      <c r="A15" s="20"/>
      <c r="B15" s="23" t="s">
        <v>46</v>
      </c>
      <c r="C15" s="48">
        <v>0</v>
      </c>
      <c r="D15" s="20"/>
      <c r="E15" s="4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43.5" customHeight="1" thickBot="1" x14ac:dyDescent="0.35">
      <c r="A16" s="20"/>
      <c r="B16" s="26" t="s">
        <v>43</v>
      </c>
      <c r="C16" s="47">
        <v>0</v>
      </c>
      <c r="D16" s="20"/>
      <c r="E16" s="4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43.5" customHeight="1" thickBot="1" x14ac:dyDescent="0.35">
      <c r="A17" s="20"/>
      <c r="B17" s="61" t="s">
        <v>42</v>
      </c>
      <c r="C17" s="62">
        <v>0</v>
      </c>
      <c r="D17" s="20"/>
      <c r="E17" s="49"/>
      <c r="F17" s="20"/>
      <c r="G17" s="20"/>
      <c r="H17" s="20"/>
      <c r="I17" s="20"/>
      <c r="J17" s="20"/>
      <c r="K17" s="59" t="str">
        <f>IF(OR(C13+C14+C16+C15+C17&gt;200,C12&gt;200),"Total award must not exceed HSL", "")</f>
        <v/>
      </c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51" customFormat="1" ht="25.05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1:21" ht="27.4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27.45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17.399999999999999" x14ac:dyDescent="0.3">
      <c r="A22" s="20"/>
      <c r="B22" s="20"/>
      <c r="C22" s="20"/>
      <c r="D22" s="20"/>
      <c r="E22" s="5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17.399999999999999" x14ac:dyDescent="0.3">
      <c r="A23" s="20"/>
      <c r="B23" s="20"/>
      <c r="C23" s="20"/>
      <c r="D23" s="20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17.399999999999999" x14ac:dyDescent="0.3">
      <c r="A24" s="20"/>
      <c r="B24" s="20"/>
      <c r="C24" s="53"/>
      <c r="D24" s="53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17.399999999999999" x14ac:dyDescent="0.3">
      <c r="A25" s="20"/>
      <c r="B25" s="20"/>
      <c r="C25" s="20"/>
      <c r="D25" s="53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7.399999999999999" x14ac:dyDescent="0.3">
      <c r="A26" s="20"/>
      <c r="B26" s="20"/>
      <c r="C26" s="20"/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17.399999999999999" x14ac:dyDescent="0.3">
      <c r="A27" s="20"/>
      <c r="B27" s="20"/>
      <c r="C27" s="20"/>
      <c r="D27" s="53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62.44999999999999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</sheetData>
  <sheetProtection sheet="1" objects="1" scenarios="1"/>
  <mergeCells count="5">
    <mergeCell ref="G9:G10"/>
    <mergeCell ref="K9:K10"/>
    <mergeCell ref="L9:L10"/>
    <mergeCell ref="J9:J10"/>
    <mergeCell ref="H9:I10"/>
  </mergeCells>
  <conditionalFormatting sqref="D10:D11">
    <cfRule type="containsText" dxfId="26" priority="10" operator="containsText" text="must equal">
      <formula>NOT(ISERROR(SEARCH("must equal",D10)))</formula>
    </cfRule>
    <cfRule type="containsText" dxfId="25" priority="11" operator="containsText" text="balanced">
      <formula>NOT(ISERROR(SEARCH("balanced",D10)))</formula>
    </cfRule>
  </conditionalFormatting>
  <conditionalFormatting sqref="C24 D25:D27">
    <cfRule type="containsText" dxfId="24" priority="9" operator="containsText" text="overloaded">
      <formula>NOT(ISERROR(SEARCH("overloaded",C24)))</formula>
    </cfRule>
  </conditionalFormatting>
  <conditionalFormatting sqref="L9">
    <cfRule type="containsText" dxfId="23" priority="8" operator="containsText" text="limit">
      <formula>NOT(ISERROR(SEARCH("limit",L9)))</formula>
    </cfRule>
  </conditionalFormatting>
  <conditionalFormatting sqref="J9">
    <cfRule type="containsText" dxfId="22" priority="7" operator="containsText" text="limit">
      <formula>NOT(ISERROR(SEARCH("limit",J9)))</formula>
    </cfRule>
  </conditionalFormatting>
  <conditionalFormatting sqref="G9:G10">
    <cfRule type="containsText" dxfId="21" priority="5" operator="containsText" text="Won't">
      <formula>NOT(ISERROR(SEARCH("Won't",G9)))</formula>
    </cfRule>
    <cfRule type="containsText" dxfId="20" priority="6" operator="containsText" text="Must">
      <formula>NOT(ISERROR(SEARCH("Must",G9)))</formula>
    </cfRule>
  </conditionalFormatting>
  <conditionalFormatting sqref="K9:K10">
    <cfRule type="containsText" dxfId="19" priority="4" operator="containsText" text="can't">
      <formula>NOT(ISERROR(SEARCH("can't",K9)))</formula>
    </cfRule>
  </conditionalFormatting>
  <conditionalFormatting sqref="H9:I10">
    <cfRule type="containsText" dxfId="18" priority="3" operator="containsText" text="can't">
      <formula>NOT(ISERROR(SEARCH("can't",H9)))</formula>
    </cfRule>
  </conditionalFormatting>
  <conditionalFormatting sqref="J9:J10">
    <cfRule type="containsText" dxfId="17" priority="2" operator="containsText" text="Non-Spin">
      <formula>NOT(ISERROR(SEARCH("Non-Spin",J9)))</formula>
    </cfRule>
  </conditionalFormatting>
  <conditionalFormatting sqref="K17">
    <cfRule type="containsText" dxfId="16" priority="1" operator="containsText" text="Total">
      <formula>NOT(ISERROR(SEARCH("Total",K17)))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choose whether or not to start the Resource" xr:uid="{00000000-0002-0000-0200-000000000000}">
          <x14:formula1>
            <xm:f>ExcCalcs!A1:A2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2"/>
  <sheetViews>
    <sheetView workbookViewId="0">
      <selection activeCell="E10" sqref="E10"/>
    </sheetView>
  </sheetViews>
  <sheetFormatPr defaultRowHeight="14.4" x14ac:dyDescent="0.3"/>
  <cols>
    <col min="2" max="2" width="15.5546875" customWidth="1"/>
    <col min="3" max="3" width="11.77734375" customWidth="1"/>
    <col min="4" max="7" width="10.6640625" customWidth="1"/>
  </cols>
  <sheetData>
    <row r="1" spans="1:5" ht="28.8" x14ac:dyDescent="0.3">
      <c r="A1" t="s">
        <v>31</v>
      </c>
      <c r="D1" t="s">
        <v>7</v>
      </c>
      <c r="E1" s="52" t="s">
        <v>34</v>
      </c>
    </row>
    <row r="2" spans="1:5" ht="28.8" x14ac:dyDescent="0.3">
      <c r="A2" t="s">
        <v>32</v>
      </c>
      <c r="C2" s="52" t="s">
        <v>33</v>
      </c>
      <c r="D2">
        <f>IF('Linked Exclusive Offers'!C11="yes",100,0)</f>
        <v>0</v>
      </c>
    </row>
    <row r="3" spans="1:5" x14ac:dyDescent="0.3">
      <c r="C3" s="52" t="s">
        <v>39</v>
      </c>
      <c r="D3">
        <f>IF(AND('Linked Exclusive Offers'!C11="no",OR(D4&lt;&gt;0,E7&lt;&gt;0,E10&lt;&gt;0,E11&lt;&gt;0,E12&lt;&gt;0,)),100,0)</f>
        <v>0</v>
      </c>
    </row>
    <row r="4" spans="1:5" x14ac:dyDescent="0.3">
      <c r="C4" s="52" t="s">
        <v>7</v>
      </c>
      <c r="D4">
        <f>MIN(IF('Linked Exclusive Offers'!$C$12="",0,'Linked Exclusive Offers'!$C$12),200)</f>
        <v>0</v>
      </c>
    </row>
    <row r="5" spans="1:5" x14ac:dyDescent="0.3">
      <c r="C5" s="52" t="s">
        <v>36</v>
      </c>
      <c r="D5">
        <f>MAX(300-D4-D3-D2,0)</f>
        <v>300</v>
      </c>
    </row>
    <row r="6" spans="1:5" x14ac:dyDescent="0.3">
      <c r="C6" s="52" t="s">
        <v>35</v>
      </c>
      <c r="E6">
        <f>IF(OR(D4&lt;&gt;0,E7&lt;&gt;0,E11&lt;&gt;0,E12&lt;&gt;0,E9&lt;&gt;0,E10&lt;&gt;0),100,0)</f>
        <v>0</v>
      </c>
    </row>
    <row r="7" spans="1:5" x14ac:dyDescent="0.3">
      <c r="C7" t="s">
        <v>38</v>
      </c>
      <c r="E7">
        <f>'Linked Exclusive Offers'!$C$14</f>
        <v>0</v>
      </c>
    </row>
    <row r="8" spans="1:5" x14ac:dyDescent="0.3">
      <c r="C8" s="52" t="s">
        <v>41</v>
      </c>
      <c r="E8">
        <f>IF(OR(E7&lt;&gt;0,E9&lt;&gt;0,E10&lt;&gt;0,E11&lt;&gt;0,E12&lt;&gt;0),200-E7-E9-E10-E11-E12,0)</f>
        <v>0</v>
      </c>
    </row>
    <row r="9" spans="1:5" x14ac:dyDescent="0.3">
      <c r="C9" s="52" t="s">
        <v>43</v>
      </c>
      <c r="E9">
        <f>'Linked Exclusive Offers'!$C$16</f>
        <v>0</v>
      </c>
    </row>
    <row r="10" spans="1:5" x14ac:dyDescent="0.3">
      <c r="C10" t="s">
        <v>42</v>
      </c>
      <c r="E10">
        <f>MIN(IF('Linked Exclusive Offers'!$C$17="",0,'Linked Exclusive Offers'!$C$17),200)</f>
        <v>0</v>
      </c>
    </row>
    <row r="11" spans="1:5" x14ac:dyDescent="0.3">
      <c r="C11" t="s">
        <v>37</v>
      </c>
      <c r="E11">
        <f>'Linked Exclusive Offers'!$C$13</f>
        <v>0</v>
      </c>
    </row>
    <row r="12" spans="1:5" x14ac:dyDescent="0.3">
      <c r="C12" t="s">
        <v>29</v>
      </c>
      <c r="E12">
        <f>'Linked Exclusive Offers'!$C$15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3"/>
  <sheetViews>
    <sheetView zoomScale="80" zoomScaleNormal="80" workbookViewId="0">
      <selection activeCell="H7" sqref="H7"/>
    </sheetView>
  </sheetViews>
  <sheetFormatPr defaultRowHeight="14.4" x14ac:dyDescent="0.3"/>
  <cols>
    <col min="1" max="1" width="5.21875" customWidth="1"/>
    <col min="2" max="8" width="13.6640625" customWidth="1"/>
    <col min="9" max="9" width="7.77734375" customWidth="1"/>
    <col min="10" max="10" width="27.6640625" customWidth="1"/>
    <col min="11" max="11" width="4.21875" customWidth="1"/>
    <col min="12" max="12" width="27.6640625" customWidth="1"/>
    <col min="13" max="13" width="8.77734375" style="10"/>
    <col min="14" max="14" width="24.77734375" customWidth="1"/>
    <col min="15" max="15" width="61.6640625" customWidth="1"/>
  </cols>
  <sheetData>
    <row r="1" spans="1:15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0"/>
      <c r="O1" s="20"/>
    </row>
    <row r="2" spans="1:15" ht="41.55" customHeight="1" x14ac:dyDescent="0.3">
      <c r="A2" s="20"/>
      <c r="B2" s="71" t="s">
        <v>24</v>
      </c>
      <c r="C2" s="72"/>
      <c r="D2" s="72"/>
      <c r="E2" s="72"/>
      <c r="F2" s="72"/>
      <c r="G2" s="72"/>
      <c r="H2" s="72"/>
      <c r="I2" s="20"/>
      <c r="J2" s="20"/>
      <c r="K2" s="20"/>
      <c r="L2" s="20"/>
      <c r="M2" s="21"/>
      <c r="N2" s="20"/>
      <c r="O2" s="20"/>
    </row>
    <row r="3" spans="1:15" ht="19.5" customHeight="1" thickBot="1" x14ac:dyDescent="0.3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0"/>
      <c r="O3" s="20"/>
    </row>
    <row r="4" spans="1:15" ht="52.05" customHeight="1" thickTop="1" thickBot="1" x14ac:dyDescent="0.35">
      <c r="A4" s="20"/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9" t="s">
        <v>23</v>
      </c>
      <c r="I4" s="69"/>
      <c r="J4" s="16" t="s">
        <v>21</v>
      </c>
      <c r="K4" s="8" t="s">
        <v>15</v>
      </c>
      <c r="L4" s="32" t="s">
        <v>22</v>
      </c>
      <c r="M4" s="17" t="s">
        <v>16</v>
      </c>
      <c r="N4" s="18" t="s">
        <v>17</v>
      </c>
      <c r="O4" s="20"/>
    </row>
    <row r="5" spans="1:15" ht="27.45" customHeight="1" thickTop="1" thickBot="1" x14ac:dyDescent="0.35">
      <c r="A5" s="20"/>
      <c r="B5" s="3" t="s">
        <v>6</v>
      </c>
      <c r="C5" s="4" t="s">
        <v>7</v>
      </c>
      <c r="D5" s="4" t="s">
        <v>8</v>
      </c>
      <c r="E5" s="4" t="s">
        <v>9</v>
      </c>
      <c r="F5" s="4">
        <v>100</v>
      </c>
      <c r="G5" s="5">
        <v>20</v>
      </c>
      <c r="H5" s="35"/>
      <c r="I5" s="69"/>
      <c r="J5" s="11">
        <f>(H7*G7)+(H8*G8)</f>
        <v>0</v>
      </c>
      <c r="K5" s="12" t="s">
        <v>15</v>
      </c>
      <c r="L5" s="13">
        <f>(H5*G5)+(H6*G6)</f>
        <v>0</v>
      </c>
      <c r="M5" s="14" t="s">
        <v>16</v>
      </c>
      <c r="N5" s="15">
        <f>J5-L5</f>
        <v>0</v>
      </c>
      <c r="O5" s="20"/>
    </row>
    <row r="6" spans="1:15" ht="27.45" customHeight="1" thickBot="1" x14ac:dyDescent="0.35">
      <c r="A6" s="20"/>
      <c r="B6" s="26" t="s">
        <v>10</v>
      </c>
      <c r="C6" s="27" t="s">
        <v>7</v>
      </c>
      <c r="D6" s="27" t="s">
        <v>8</v>
      </c>
      <c r="E6" s="27" t="s">
        <v>11</v>
      </c>
      <c r="F6" s="27">
        <v>60</v>
      </c>
      <c r="G6" s="28">
        <v>30</v>
      </c>
      <c r="H6" s="34"/>
      <c r="I6" s="20"/>
      <c r="J6" s="20"/>
      <c r="K6" s="20"/>
      <c r="L6" s="20"/>
      <c r="M6" s="21"/>
      <c r="N6" s="20"/>
      <c r="O6" s="20"/>
    </row>
    <row r="7" spans="1:15" ht="27.45" customHeight="1" thickBot="1" x14ac:dyDescent="0.35">
      <c r="A7" s="20"/>
      <c r="B7" s="23" t="s">
        <v>12</v>
      </c>
      <c r="C7" s="24" t="s">
        <v>7</v>
      </c>
      <c r="D7" s="24" t="s">
        <v>13</v>
      </c>
      <c r="E7" s="24" t="s">
        <v>14</v>
      </c>
      <c r="F7" s="24">
        <v>90</v>
      </c>
      <c r="G7" s="25">
        <v>40</v>
      </c>
      <c r="H7" s="36"/>
      <c r="I7" s="20"/>
      <c r="J7" s="20"/>
      <c r="K7" s="20"/>
      <c r="L7" s="20"/>
      <c r="M7" s="21"/>
      <c r="N7" s="20"/>
      <c r="O7" s="20"/>
    </row>
    <row r="8" spans="1:15" ht="27.45" customHeight="1" thickBot="1" x14ac:dyDescent="0.35">
      <c r="A8" s="20"/>
      <c r="B8" s="29" t="s">
        <v>18</v>
      </c>
      <c r="C8" s="30" t="s">
        <v>19</v>
      </c>
      <c r="D8" s="30" t="s">
        <v>13</v>
      </c>
      <c r="E8" s="30" t="s">
        <v>20</v>
      </c>
      <c r="F8" s="6">
        <v>30</v>
      </c>
      <c r="G8" s="7">
        <v>20</v>
      </c>
      <c r="H8" s="33"/>
      <c r="I8" s="20"/>
      <c r="J8" s="20"/>
      <c r="K8" s="20"/>
      <c r="L8" s="20"/>
      <c r="M8" s="21"/>
      <c r="N8" s="20"/>
      <c r="O8" s="20"/>
    </row>
    <row r="9" spans="1:15" ht="30" customHeigh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0"/>
      <c r="O9" s="20"/>
    </row>
    <row r="10" spans="1:15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0"/>
      <c r="O10" s="20"/>
    </row>
    <row r="11" spans="1:15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0"/>
    </row>
    <row r="12" spans="1:15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0"/>
    </row>
    <row r="13" spans="1:15" ht="79.95" customHeight="1" x14ac:dyDescent="0.3">
      <c r="A13" s="20"/>
      <c r="B13" s="20"/>
      <c r="C13" s="20"/>
      <c r="D13" s="20"/>
      <c r="E13" s="20"/>
      <c r="F13" s="20"/>
      <c r="G13" s="20"/>
      <c r="H13" s="20"/>
      <c r="I13" s="22"/>
      <c r="J13" s="22" t="str">
        <f>IF(H5+H6=H7,"Power is balanced","Cleared Energy Offers must equal cleared Energy Bids")</f>
        <v>Power is balanced</v>
      </c>
      <c r="K13" s="20"/>
      <c r="L13" s="20"/>
      <c r="M13" s="21"/>
      <c r="N13" s="20"/>
      <c r="O13" s="20"/>
    </row>
    <row r="14" spans="1:15" ht="79.95" customHeight="1" x14ac:dyDescent="0.3">
      <c r="A14" s="20"/>
      <c r="B14" s="20"/>
      <c r="C14" s="20"/>
      <c r="D14" s="20"/>
      <c r="E14" s="20"/>
      <c r="F14" s="20"/>
      <c r="G14" s="20"/>
      <c r="H14" s="20"/>
      <c r="I14" s="22"/>
      <c r="J14" s="22" t="str">
        <f>IF(H7&gt;90,"QSE 3 only wants 90MW","")</f>
        <v/>
      </c>
      <c r="K14" s="20"/>
      <c r="L14" s="20"/>
      <c r="M14" s="21"/>
      <c r="N14" s="20"/>
      <c r="O14" s="20"/>
    </row>
    <row r="15" spans="1:15" ht="52.95" customHeight="1" x14ac:dyDescent="0.3">
      <c r="A15" s="20"/>
      <c r="B15" s="20"/>
      <c r="C15" s="70" t="str">
        <f>IF((H5+H8)&gt;100,"A to B path is overloaded","")</f>
        <v/>
      </c>
      <c r="D15" s="70"/>
      <c r="E15" s="70"/>
      <c r="F15" s="20"/>
      <c r="G15" s="20"/>
      <c r="H15" s="20"/>
      <c r="I15" s="20"/>
      <c r="J15" s="20"/>
      <c r="K15" s="20"/>
      <c r="L15" s="20"/>
      <c r="M15" s="21"/>
      <c r="N15" s="20"/>
      <c r="O15" s="20"/>
    </row>
    <row r="16" spans="1:15" ht="45" customHeight="1" thickBot="1" x14ac:dyDescent="0.35">
      <c r="A16" s="20"/>
      <c r="B16" s="20"/>
      <c r="C16" s="20"/>
      <c r="D16" s="31"/>
      <c r="E16" s="31"/>
      <c r="F16" s="20"/>
      <c r="G16" s="20"/>
      <c r="H16" s="20"/>
      <c r="I16" s="20"/>
      <c r="J16" s="20"/>
      <c r="K16" s="20"/>
      <c r="L16" s="20"/>
      <c r="M16" s="21"/>
      <c r="N16" s="20"/>
      <c r="O16" s="20"/>
    </row>
    <row r="17" spans="1:16" ht="27.45" customHeight="1" thickTop="1" thickBot="1" x14ac:dyDescent="0.35">
      <c r="A17" s="20"/>
      <c r="B17" s="20"/>
      <c r="C17" s="73" t="s">
        <v>25</v>
      </c>
      <c r="D17" s="74"/>
      <c r="E17" s="74" t="s">
        <v>26</v>
      </c>
      <c r="F17" s="75"/>
      <c r="G17" s="20"/>
      <c r="H17" s="20"/>
      <c r="I17" s="20"/>
      <c r="J17" s="20"/>
      <c r="K17" s="20"/>
      <c r="L17" s="20"/>
      <c r="M17" s="20"/>
      <c r="N17" s="21"/>
      <c r="O17" s="20"/>
      <c r="P17" s="37"/>
    </row>
    <row r="18" spans="1:16" ht="27.45" customHeight="1" thickTop="1" thickBot="1" x14ac:dyDescent="0.35">
      <c r="A18" s="20"/>
      <c r="B18" s="20"/>
      <c r="C18" s="65"/>
      <c r="D18" s="66"/>
      <c r="E18" s="67"/>
      <c r="F18" s="68"/>
      <c r="G18" s="20"/>
      <c r="H18" s="20"/>
      <c r="I18" s="20"/>
      <c r="J18" s="20"/>
      <c r="K18" s="20"/>
      <c r="L18" s="20"/>
      <c r="M18" s="20"/>
      <c r="N18" s="21"/>
      <c r="O18" s="20"/>
      <c r="P18" s="37"/>
    </row>
    <row r="19" spans="1:16" ht="15" thickTop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</row>
    <row r="20" spans="1:16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0"/>
      <c r="O20" s="20"/>
    </row>
    <row r="21" spans="1:16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0"/>
      <c r="O21" s="20"/>
    </row>
    <row r="22" spans="1:16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0"/>
      <c r="O22" s="20"/>
    </row>
    <row r="23" spans="1:16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0"/>
      <c r="O23" s="20"/>
    </row>
    <row r="24" spans="1:16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0"/>
      <c r="O24" s="20"/>
    </row>
    <row r="25" spans="1:16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0"/>
      <c r="O25" s="20"/>
    </row>
    <row r="26" spans="1:16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0"/>
      <c r="O26" s="20"/>
    </row>
    <row r="27" spans="1:16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0"/>
      <c r="O27" s="20"/>
    </row>
    <row r="28" spans="1:16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0"/>
      <c r="O28" s="20"/>
    </row>
    <row r="29" spans="1:16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0"/>
      <c r="O29" s="20"/>
    </row>
    <row r="30" spans="1:16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0"/>
      <c r="O30" s="20"/>
    </row>
    <row r="31" spans="1:16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0"/>
      <c r="O31" s="20"/>
    </row>
    <row r="32" spans="1:16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0"/>
      <c r="O32" s="20"/>
    </row>
    <row r="33" spans="1:15" ht="162.44999999999999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</row>
  </sheetData>
  <sheetProtection sheet="1" objects="1" scenarios="1"/>
  <mergeCells count="7">
    <mergeCell ref="C18:D18"/>
    <mergeCell ref="E18:F18"/>
    <mergeCell ref="I4:I5"/>
    <mergeCell ref="C15:E15"/>
    <mergeCell ref="B2:H2"/>
    <mergeCell ref="C17:D17"/>
    <mergeCell ref="E17:F17"/>
  </mergeCells>
  <conditionalFormatting sqref="I4:I5">
    <cfRule type="containsText" dxfId="15" priority="8" operator="containsText" text="must equal">
      <formula>NOT(ISERROR(SEARCH("must equal",I4)))</formula>
    </cfRule>
    <cfRule type="containsText" dxfId="14" priority="9" operator="containsText" text="balanced">
      <formula>NOT(ISERROR(SEARCH("balanced",I4)))</formula>
    </cfRule>
  </conditionalFormatting>
  <conditionalFormatting sqref="J13:J14">
    <cfRule type="containsText" dxfId="13" priority="4" operator="containsText" text="must equal">
      <formula>NOT(ISERROR(SEARCH("must equal",J13)))</formula>
    </cfRule>
    <cfRule type="containsText" dxfId="12" priority="5" operator="containsText" text="balanced">
      <formula>NOT(ISERROR(SEARCH("balanced",J13)))</formula>
    </cfRule>
  </conditionalFormatting>
  <conditionalFormatting sqref="I13:I14">
    <cfRule type="containsText" dxfId="11" priority="6" operator="containsText" text="must equal">
      <formula>NOT(ISERROR(SEARCH("must equal",I13)))</formula>
    </cfRule>
    <cfRule type="containsText" dxfId="10" priority="7" operator="containsText" text="balanced">
      <formula>NOT(ISERROR(SEARCH("balanced",I13)))</formula>
    </cfRule>
  </conditionalFormatting>
  <conditionalFormatting sqref="J14">
    <cfRule type="containsText" dxfId="9" priority="3" operator="containsText" text="QSE">
      <formula>NOT(ISERROR(SEARCH("QSE",J14)))</formula>
    </cfRule>
  </conditionalFormatting>
  <conditionalFormatting sqref="J15:J16 D16 C15">
    <cfRule type="containsText" dxfId="8" priority="2" operator="containsText" text="overloaded">
      <formula>NOT(ISERROR(SEARCH("overloaded",C15)))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33"/>
  <sheetViews>
    <sheetView topLeftCell="A4" zoomScale="80" zoomScaleNormal="80" workbookViewId="0">
      <selection activeCell="H7" sqref="H7"/>
    </sheetView>
  </sheetViews>
  <sheetFormatPr defaultRowHeight="14.4" x14ac:dyDescent="0.3"/>
  <cols>
    <col min="1" max="1" width="5.21875" customWidth="1"/>
    <col min="2" max="8" width="13.6640625" customWidth="1"/>
    <col min="9" max="9" width="7.77734375" customWidth="1"/>
    <col min="10" max="10" width="27.6640625" customWidth="1"/>
    <col min="11" max="11" width="4.21875" customWidth="1"/>
    <col min="12" max="12" width="27.6640625" customWidth="1"/>
    <col min="13" max="13" width="8.77734375" style="10"/>
    <col min="14" max="14" width="24.77734375" customWidth="1"/>
    <col min="15" max="15" width="61.6640625" customWidth="1"/>
  </cols>
  <sheetData>
    <row r="1" spans="1:15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0"/>
      <c r="O1" s="20"/>
    </row>
    <row r="2" spans="1:15" ht="41.55" customHeight="1" x14ac:dyDescent="0.3">
      <c r="A2" s="20"/>
      <c r="B2" s="71" t="s">
        <v>24</v>
      </c>
      <c r="C2" s="72"/>
      <c r="D2" s="72"/>
      <c r="E2" s="72"/>
      <c r="F2" s="72"/>
      <c r="G2" s="72"/>
      <c r="H2" s="72"/>
      <c r="I2" s="20"/>
      <c r="J2" s="20"/>
      <c r="K2" s="20"/>
      <c r="L2" s="20"/>
      <c r="M2" s="21"/>
      <c r="N2" s="20"/>
      <c r="O2" s="20"/>
    </row>
    <row r="3" spans="1:15" ht="19.5" customHeight="1" thickBot="1" x14ac:dyDescent="0.3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0"/>
      <c r="O3" s="20"/>
    </row>
    <row r="4" spans="1:15" ht="52.05" customHeight="1" thickTop="1" thickBot="1" x14ac:dyDescent="0.35">
      <c r="A4" s="20"/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9" t="s">
        <v>23</v>
      </c>
      <c r="I4" s="69"/>
      <c r="J4" s="16" t="s">
        <v>21</v>
      </c>
      <c r="K4" s="8" t="s">
        <v>15</v>
      </c>
      <c r="L4" s="32" t="s">
        <v>22</v>
      </c>
      <c r="M4" s="17" t="s">
        <v>16</v>
      </c>
      <c r="N4" s="18" t="s">
        <v>17</v>
      </c>
      <c r="O4" s="20"/>
    </row>
    <row r="5" spans="1:15" ht="27.45" customHeight="1" thickTop="1" thickBot="1" x14ac:dyDescent="0.35">
      <c r="A5" s="20"/>
      <c r="B5" s="3" t="s">
        <v>6</v>
      </c>
      <c r="C5" s="4" t="s">
        <v>7</v>
      </c>
      <c r="D5" s="4" t="s">
        <v>8</v>
      </c>
      <c r="E5" s="4" t="s">
        <v>9</v>
      </c>
      <c r="F5" s="4">
        <v>100</v>
      </c>
      <c r="G5" s="5">
        <v>20</v>
      </c>
      <c r="H5" s="35"/>
      <c r="I5" s="69"/>
      <c r="J5" s="11">
        <f>(H7*G7)+(H8*G8)</f>
        <v>0</v>
      </c>
      <c r="K5" s="12" t="s">
        <v>15</v>
      </c>
      <c r="L5" s="13">
        <f>(H5*G5)+(H6*G6)</f>
        <v>0</v>
      </c>
      <c r="M5" s="14" t="s">
        <v>16</v>
      </c>
      <c r="N5" s="15">
        <f>J5-L5</f>
        <v>0</v>
      </c>
      <c r="O5" s="20"/>
    </row>
    <row r="6" spans="1:15" ht="27.45" customHeight="1" thickBot="1" x14ac:dyDescent="0.35">
      <c r="A6" s="20"/>
      <c r="B6" s="26" t="s">
        <v>10</v>
      </c>
      <c r="C6" s="27" t="s">
        <v>7</v>
      </c>
      <c r="D6" s="27" t="s">
        <v>8</v>
      </c>
      <c r="E6" s="27" t="s">
        <v>11</v>
      </c>
      <c r="F6" s="27">
        <v>60</v>
      </c>
      <c r="G6" s="28">
        <v>30</v>
      </c>
      <c r="H6" s="34"/>
      <c r="I6" s="20"/>
      <c r="J6" s="20"/>
      <c r="K6" s="20"/>
      <c r="L6" s="20"/>
      <c r="M6" s="21"/>
      <c r="N6" s="20"/>
      <c r="O6" s="20"/>
    </row>
    <row r="7" spans="1:15" ht="27.45" customHeight="1" thickBot="1" x14ac:dyDescent="0.35">
      <c r="A7" s="20"/>
      <c r="B7" s="23" t="s">
        <v>12</v>
      </c>
      <c r="C7" s="24" t="s">
        <v>7</v>
      </c>
      <c r="D7" s="24" t="s">
        <v>13</v>
      </c>
      <c r="E7" s="24" t="s">
        <v>14</v>
      </c>
      <c r="F7" s="24">
        <v>90</v>
      </c>
      <c r="G7" s="25">
        <v>40</v>
      </c>
      <c r="H7" s="36"/>
      <c r="I7" s="20"/>
      <c r="J7" s="20"/>
      <c r="K7" s="20"/>
      <c r="L7" s="20"/>
      <c r="M7" s="21"/>
      <c r="N7" s="20"/>
      <c r="O7" s="20"/>
    </row>
    <row r="8" spans="1:15" ht="27.45" customHeight="1" thickBot="1" x14ac:dyDescent="0.35">
      <c r="A8" s="20"/>
      <c r="B8" s="29" t="s">
        <v>18</v>
      </c>
      <c r="C8" s="30" t="s">
        <v>19</v>
      </c>
      <c r="D8" s="30" t="s">
        <v>13</v>
      </c>
      <c r="E8" s="30" t="s">
        <v>20</v>
      </c>
      <c r="F8" s="6">
        <v>30</v>
      </c>
      <c r="G8" s="7">
        <v>5</v>
      </c>
      <c r="H8" s="33"/>
      <c r="I8" s="20"/>
      <c r="J8" s="20"/>
      <c r="K8" s="20"/>
      <c r="L8" s="20"/>
      <c r="M8" s="21"/>
      <c r="N8" s="20"/>
      <c r="O8" s="20"/>
    </row>
    <row r="9" spans="1:15" ht="30" customHeigh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0"/>
      <c r="O9" s="20"/>
    </row>
    <row r="10" spans="1:15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0"/>
      <c r="O10" s="20"/>
    </row>
    <row r="11" spans="1:15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0"/>
    </row>
    <row r="12" spans="1:15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0"/>
    </row>
    <row r="13" spans="1:15" ht="79.95" customHeight="1" x14ac:dyDescent="0.3">
      <c r="A13" s="20"/>
      <c r="B13" s="20"/>
      <c r="C13" s="20"/>
      <c r="D13" s="20"/>
      <c r="E13" s="20"/>
      <c r="F13" s="20"/>
      <c r="G13" s="20"/>
      <c r="H13" s="20"/>
      <c r="I13" s="38"/>
      <c r="J13" s="38" t="str">
        <f>IF(H5+H6=H7,"Power is balanced","Cleared Energy Offers must equal cleared Energy Bids")</f>
        <v>Power is balanced</v>
      </c>
      <c r="K13" s="20"/>
      <c r="L13" s="20"/>
      <c r="M13" s="21"/>
      <c r="N13" s="20"/>
      <c r="O13" s="20"/>
    </row>
    <row r="14" spans="1:15" ht="79.95" customHeight="1" x14ac:dyDescent="0.3">
      <c r="A14" s="20"/>
      <c r="B14" s="20"/>
      <c r="C14" s="20"/>
      <c r="D14" s="20"/>
      <c r="E14" s="20"/>
      <c r="F14" s="20"/>
      <c r="G14" s="20"/>
      <c r="H14" s="20"/>
      <c r="I14" s="38"/>
      <c r="J14" s="38" t="str">
        <f>IF(H7&gt;90,"QSE 3 only wants 90MW","")</f>
        <v/>
      </c>
      <c r="K14" s="20"/>
      <c r="L14" s="20"/>
      <c r="M14" s="21"/>
      <c r="N14" s="20"/>
      <c r="O14" s="20"/>
    </row>
    <row r="15" spans="1:15" ht="52.95" customHeight="1" x14ac:dyDescent="0.3">
      <c r="A15" s="20"/>
      <c r="B15" s="20"/>
      <c r="C15" s="70" t="str">
        <f>IF((H5+H8)&gt;100,"A to B path is overloaded","")</f>
        <v/>
      </c>
      <c r="D15" s="70"/>
      <c r="E15" s="70"/>
      <c r="F15" s="20"/>
      <c r="G15" s="20"/>
      <c r="H15" s="20"/>
      <c r="I15" s="20"/>
      <c r="J15" s="20"/>
      <c r="K15" s="20"/>
      <c r="L15" s="20"/>
      <c r="M15" s="21"/>
      <c r="N15" s="20"/>
      <c r="O15" s="20"/>
    </row>
    <row r="16" spans="1:15" ht="45" customHeight="1" thickBot="1" x14ac:dyDescent="0.35">
      <c r="A16" s="20"/>
      <c r="B16" s="20"/>
      <c r="C16" s="20"/>
      <c r="D16" s="39"/>
      <c r="E16" s="39"/>
      <c r="F16" s="20"/>
      <c r="G16" s="20"/>
      <c r="H16" s="20"/>
      <c r="I16" s="20"/>
      <c r="J16" s="20"/>
      <c r="K16" s="20"/>
      <c r="L16" s="20"/>
      <c r="M16" s="21"/>
      <c r="N16" s="20"/>
      <c r="O16" s="20"/>
    </row>
    <row r="17" spans="1:16" ht="27.45" customHeight="1" thickTop="1" thickBot="1" x14ac:dyDescent="0.35">
      <c r="A17" s="20"/>
      <c r="B17" s="20"/>
      <c r="C17" s="73" t="s">
        <v>25</v>
      </c>
      <c r="D17" s="74"/>
      <c r="E17" s="74" t="s">
        <v>26</v>
      </c>
      <c r="F17" s="75"/>
      <c r="G17" s="20"/>
      <c r="H17" s="20"/>
      <c r="I17" s="20"/>
      <c r="J17" s="20"/>
      <c r="K17" s="20"/>
      <c r="L17" s="20"/>
      <c r="M17" s="20"/>
      <c r="N17" s="21"/>
      <c r="O17" s="20"/>
      <c r="P17" s="37"/>
    </row>
    <row r="18" spans="1:16" ht="27.45" customHeight="1" thickTop="1" thickBot="1" x14ac:dyDescent="0.35">
      <c r="A18" s="20"/>
      <c r="B18" s="20"/>
      <c r="C18" s="65"/>
      <c r="D18" s="66"/>
      <c r="E18" s="67"/>
      <c r="F18" s="68"/>
      <c r="G18" s="20"/>
      <c r="H18" s="20"/>
      <c r="I18" s="20"/>
      <c r="J18" s="20"/>
      <c r="K18" s="20"/>
      <c r="L18" s="20"/>
      <c r="M18" s="20"/>
      <c r="N18" s="21"/>
      <c r="O18" s="20"/>
      <c r="P18" s="37"/>
    </row>
    <row r="19" spans="1:16" ht="15" thickTop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</row>
    <row r="20" spans="1:16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0"/>
      <c r="O20" s="20"/>
    </row>
    <row r="21" spans="1:16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0"/>
      <c r="O21" s="20"/>
    </row>
    <row r="22" spans="1:16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0"/>
      <c r="O22" s="20"/>
    </row>
    <row r="23" spans="1:16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0"/>
      <c r="O23" s="20"/>
    </row>
    <row r="24" spans="1:16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0"/>
      <c r="O24" s="20"/>
    </row>
    <row r="25" spans="1:16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0"/>
      <c r="O25" s="20"/>
    </row>
    <row r="26" spans="1:16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0"/>
      <c r="O26" s="20"/>
    </row>
    <row r="27" spans="1:16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0"/>
      <c r="O27" s="20"/>
    </row>
    <row r="28" spans="1:16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0"/>
      <c r="O28" s="20"/>
    </row>
    <row r="29" spans="1:16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0"/>
      <c r="O29" s="20"/>
    </row>
    <row r="30" spans="1:16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0"/>
      <c r="O30" s="20"/>
    </row>
    <row r="31" spans="1:16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0"/>
      <c r="O31" s="20"/>
    </row>
    <row r="32" spans="1:16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0"/>
      <c r="O32" s="20"/>
    </row>
    <row r="33" spans="1:15" ht="162.44999999999999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</row>
  </sheetData>
  <sheetProtection sheet="1" objects="1" scenarios="1"/>
  <mergeCells count="7">
    <mergeCell ref="C18:D18"/>
    <mergeCell ref="E18:F18"/>
    <mergeCell ref="B2:H2"/>
    <mergeCell ref="I4:I5"/>
    <mergeCell ref="C15:E15"/>
    <mergeCell ref="C17:D17"/>
    <mergeCell ref="E17:F17"/>
  </mergeCells>
  <conditionalFormatting sqref="I4:I5">
    <cfRule type="containsText" dxfId="7" priority="7" operator="containsText" text="must equal">
      <formula>NOT(ISERROR(SEARCH("must equal",I4)))</formula>
    </cfRule>
    <cfRule type="containsText" dxfId="6" priority="8" operator="containsText" text="balanced">
      <formula>NOT(ISERROR(SEARCH("balanced",I4)))</formula>
    </cfRule>
  </conditionalFormatting>
  <conditionalFormatting sqref="J13:J14">
    <cfRule type="containsText" dxfId="5" priority="3" operator="containsText" text="must equal">
      <formula>NOT(ISERROR(SEARCH("must equal",J13)))</formula>
    </cfRule>
    <cfRule type="containsText" dxfId="4" priority="4" operator="containsText" text="balanced">
      <formula>NOT(ISERROR(SEARCH("balanced",J13)))</formula>
    </cfRule>
  </conditionalFormatting>
  <conditionalFormatting sqref="I13:I14">
    <cfRule type="containsText" dxfId="3" priority="5" operator="containsText" text="must equal">
      <formula>NOT(ISERROR(SEARCH("must equal",I13)))</formula>
    </cfRule>
    <cfRule type="containsText" dxfId="2" priority="6" operator="containsText" text="balanced">
      <formula>NOT(ISERROR(SEARCH("balanced",I13)))</formula>
    </cfRule>
  </conditionalFormatting>
  <conditionalFormatting sqref="J14">
    <cfRule type="containsText" dxfId="1" priority="2" operator="containsText" text="QSE">
      <formula>NOT(ISERROR(SEARCH("QSE",J14)))</formula>
    </cfRule>
  </conditionalFormatting>
  <conditionalFormatting sqref="J15:J16 D16 C15">
    <cfRule type="containsText" dxfId="0" priority="1" operator="containsText" text="overloaded">
      <formula>NOT(ISERROR(SEARCH("overloaded",C15)))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Linked Inclusive Offers</vt:lpstr>
      <vt:lpstr>IncCalcs</vt:lpstr>
      <vt:lpstr>Linked Exclusive Offers</vt:lpstr>
      <vt:lpstr>ExcCalcs</vt:lpstr>
      <vt:lpstr>Instructor Example</vt:lpstr>
      <vt:lpstr>Breakout Session Example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Kettlewell, Bill</dc:creator>
  <cp:lastModifiedBy>Kettlewell, Bill</cp:lastModifiedBy>
  <dcterms:created xsi:type="dcterms:W3CDTF">2020-05-01T16:00:11Z</dcterms:created>
  <dcterms:modified xsi:type="dcterms:W3CDTF">2023-07-25T20:17:09Z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2023-07-25T20:17:09Z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d42b1907-f3fe-4ba8-9040-ead63b3e64bf</vt:lpwstr>
  </property>
  <property fmtid="{D5CDD505-2E9C-101B-9397-08002B2CF9AE}" pid="8" name="MSIP_Label_7084cbda-52b8-46fb-a7b7-cb5bd465ed85_ContentBits">
    <vt:lpwstr>0</vt:lpwstr>
  </property>
</Properties>
</file>