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P:\Credit\QSE_EAL\2022\CWG\Meeting Material\Feb 2022\"/>
    </mc:Choice>
  </mc:AlternateContent>
  <xr:revisionPtr revIDLastSave="0" documentId="8_{5EA8B6DB-B20F-42CB-9163-F9B6418489EF}" xr6:coauthVersionLast="47" xr6:coauthVersionMax="47" xr10:uidLastSave="{00000000-0000-0000-0000-000000000000}"/>
  <bookViews>
    <workbookView xWindow="-120" yWindow="-120" windowWidth="29040" windowHeight="17640" xr2:uid="{8E34DC04-BA86-40D7-ABF4-FBCC235FEC86}"/>
  </bookViews>
  <sheets>
    <sheet name="Original EAL" sheetId="1" r:id="rId1"/>
    <sheet name="Proposed EAL"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0" i="2" l="1"/>
  <c r="R11" i="2"/>
  <c r="R12" i="2"/>
  <c r="R13" i="2"/>
  <c r="R14" i="2"/>
  <c r="R15" i="2"/>
  <c r="R16" i="2"/>
  <c r="R17" i="2"/>
  <c r="R18" i="2"/>
  <c r="R19" i="2"/>
  <c r="R20" i="2"/>
  <c r="R21" i="2"/>
  <c r="R22" i="2"/>
  <c r="Q11" i="2"/>
  <c r="Q12" i="2"/>
  <c r="Q13" i="2"/>
  <c r="Q17" i="2"/>
  <c r="Q18" i="2"/>
  <c r="O27" i="2"/>
  <c r="N27" i="2"/>
  <c r="M27" i="2"/>
  <c r="K27" i="2"/>
  <c r="H27" i="2"/>
  <c r="O26" i="2"/>
  <c r="N26" i="2"/>
  <c r="M26" i="2"/>
  <c r="K26" i="2"/>
  <c r="H26" i="2"/>
  <c r="O25" i="2"/>
  <c r="N25" i="2"/>
  <c r="M25" i="2"/>
  <c r="K25" i="2"/>
  <c r="H25" i="2"/>
  <c r="O24" i="2"/>
  <c r="N24" i="2"/>
  <c r="M24" i="2"/>
  <c r="K24" i="2"/>
  <c r="H24" i="2"/>
  <c r="F24" i="2"/>
  <c r="F25" i="2" s="1"/>
  <c r="F26" i="2" s="1"/>
  <c r="O23" i="2"/>
  <c r="P23" i="2" s="1"/>
  <c r="N23" i="2"/>
  <c r="M23" i="2"/>
  <c r="K23" i="2"/>
  <c r="L23" i="2" s="1"/>
  <c r="Q23" i="2" s="1"/>
  <c r="H23" i="2"/>
  <c r="F23" i="2"/>
  <c r="O22" i="2"/>
  <c r="P22" i="2" s="1"/>
  <c r="N22" i="2"/>
  <c r="M22" i="2"/>
  <c r="K22" i="2"/>
  <c r="L22" i="2" s="1"/>
  <c r="Q22" i="2" s="1"/>
  <c r="H22" i="2"/>
  <c r="F22" i="2"/>
  <c r="O21" i="2"/>
  <c r="P21" i="2" s="1"/>
  <c r="N21" i="2"/>
  <c r="M21" i="2"/>
  <c r="K21" i="2"/>
  <c r="L21" i="2" s="1"/>
  <c r="Q21" i="2" s="1"/>
  <c r="H21" i="2"/>
  <c r="F21" i="2"/>
  <c r="P20" i="2"/>
  <c r="O20" i="2"/>
  <c r="N20" i="2"/>
  <c r="M20" i="2"/>
  <c r="K20" i="2"/>
  <c r="L20" i="2" s="1"/>
  <c r="Q20" i="2" s="1"/>
  <c r="H20" i="2"/>
  <c r="F20" i="2"/>
  <c r="O19" i="2"/>
  <c r="P19" i="2" s="1"/>
  <c r="N19" i="2"/>
  <c r="M19" i="2"/>
  <c r="K19" i="2"/>
  <c r="L19" i="2" s="1"/>
  <c r="Q19" i="2" s="1"/>
  <c r="H19" i="2"/>
  <c r="F19" i="2"/>
  <c r="O18" i="2"/>
  <c r="P18" i="2" s="1"/>
  <c r="N18" i="2"/>
  <c r="M18" i="2"/>
  <c r="K18" i="2"/>
  <c r="L18" i="2" s="1"/>
  <c r="H18" i="2"/>
  <c r="F18" i="2"/>
  <c r="O17" i="2"/>
  <c r="P17" i="2" s="1"/>
  <c r="N17" i="2"/>
  <c r="M17" i="2"/>
  <c r="K17" i="2"/>
  <c r="L17" i="2" s="1"/>
  <c r="H17" i="2"/>
  <c r="F17" i="2"/>
  <c r="O16" i="2"/>
  <c r="P16" i="2" s="1"/>
  <c r="N16" i="2"/>
  <c r="M16" i="2"/>
  <c r="L16" i="2"/>
  <c r="Q16" i="2" s="1"/>
  <c r="K16" i="2"/>
  <c r="H16" i="2"/>
  <c r="F16" i="2"/>
  <c r="O15" i="2"/>
  <c r="P15" i="2" s="1"/>
  <c r="N15" i="2"/>
  <c r="M15" i="2"/>
  <c r="K15" i="2"/>
  <c r="L15" i="2" s="1"/>
  <c r="Q15" i="2" s="1"/>
  <c r="H15" i="2"/>
  <c r="F15" i="2"/>
  <c r="P14" i="2"/>
  <c r="O14" i="2"/>
  <c r="N14" i="2"/>
  <c r="M14" i="2"/>
  <c r="K14" i="2"/>
  <c r="L14" i="2" s="1"/>
  <c r="H14" i="2"/>
  <c r="F14" i="2"/>
  <c r="O13" i="2"/>
  <c r="P13" i="2" s="1"/>
  <c r="N13" i="2"/>
  <c r="M13" i="2"/>
  <c r="K13" i="2"/>
  <c r="L13" i="2" s="1"/>
  <c r="H13" i="2"/>
  <c r="F13" i="2"/>
  <c r="O12" i="2"/>
  <c r="P12" i="2" s="1"/>
  <c r="N12" i="2"/>
  <c r="M12" i="2"/>
  <c r="K12" i="2"/>
  <c r="L12" i="2" s="1"/>
  <c r="H12" i="2"/>
  <c r="F12" i="2"/>
  <c r="O11" i="2"/>
  <c r="P11" i="2" s="1"/>
  <c r="N11" i="2"/>
  <c r="M11" i="2"/>
  <c r="K11" i="2"/>
  <c r="L11" i="2" s="1"/>
  <c r="H11" i="2"/>
  <c r="F11" i="2"/>
  <c r="O10" i="2"/>
  <c r="P10" i="2" s="1"/>
  <c r="N10" i="2"/>
  <c r="M10" i="2"/>
  <c r="K10" i="2"/>
  <c r="L10" i="2" s="1"/>
  <c r="Q10" i="2" s="1"/>
  <c r="H10" i="2"/>
  <c r="F10" i="2"/>
  <c r="O9" i="2"/>
  <c r="P9" i="2" s="1"/>
  <c r="N9" i="2"/>
  <c r="M9" i="2"/>
  <c r="K9" i="2"/>
  <c r="L9" i="2" s="1"/>
  <c r="Q9" i="2" s="1"/>
  <c r="H9" i="2"/>
  <c r="F9" i="2"/>
  <c r="P8" i="2"/>
  <c r="O8" i="2"/>
  <c r="N8" i="2"/>
  <c r="M8" i="2"/>
  <c r="K8" i="2"/>
  <c r="L8" i="2" s="1"/>
  <c r="H8" i="2"/>
  <c r="F8" i="2"/>
  <c r="O7" i="2"/>
  <c r="P27" i="2" s="1"/>
  <c r="N7" i="2"/>
  <c r="M7" i="2"/>
  <c r="K7" i="2"/>
  <c r="H7" i="2"/>
  <c r="F7" i="2"/>
  <c r="O6" i="2"/>
  <c r="P26" i="2" s="1"/>
  <c r="N6" i="2"/>
  <c r="M6" i="2"/>
  <c r="K6" i="2"/>
  <c r="H6" i="2"/>
  <c r="F6" i="2"/>
  <c r="R5" i="2"/>
  <c r="O5" i="2"/>
  <c r="P25" i="2" s="1"/>
  <c r="N5" i="2"/>
  <c r="M5" i="2"/>
  <c r="K5" i="2"/>
  <c r="H5" i="2"/>
  <c r="B5" i="2"/>
  <c r="B6" i="2" s="1"/>
  <c r="R4" i="2"/>
  <c r="O4" i="2"/>
  <c r="P4" i="2" s="1"/>
  <c r="N4" i="2"/>
  <c r="M4" i="2"/>
  <c r="K4" i="2"/>
  <c r="L4" i="2" s="1"/>
  <c r="Q4" i="2" s="1"/>
  <c r="H4" i="2"/>
  <c r="O17" i="1"/>
  <c r="O18" i="1"/>
  <c r="P18" i="1" s="1"/>
  <c r="O19" i="1"/>
  <c r="P19" i="1" s="1"/>
  <c r="O20" i="1"/>
  <c r="P20" i="1" s="1"/>
  <c r="O21" i="1"/>
  <c r="P21" i="1" s="1"/>
  <c r="O23" i="1"/>
  <c r="P23" i="1" s="1"/>
  <c r="O24" i="1"/>
  <c r="O25" i="1"/>
  <c r="O26" i="1"/>
  <c r="O27" i="1"/>
  <c r="O22" i="1"/>
  <c r="P22" i="1" s="1"/>
  <c r="P17" i="1"/>
  <c r="N8" i="1"/>
  <c r="N9" i="1"/>
  <c r="N10" i="1"/>
  <c r="N11" i="1"/>
  <c r="N12" i="1"/>
  <c r="N13" i="1"/>
  <c r="N14" i="1"/>
  <c r="N15" i="1"/>
  <c r="N16" i="1"/>
  <c r="N17" i="1"/>
  <c r="N18" i="1"/>
  <c r="N19" i="1"/>
  <c r="N20" i="1"/>
  <c r="M10" i="1"/>
  <c r="M11" i="1"/>
  <c r="M12" i="1"/>
  <c r="M13" i="1"/>
  <c r="M14" i="1"/>
  <c r="M15" i="1"/>
  <c r="M16" i="1"/>
  <c r="M17" i="1"/>
  <c r="M18" i="1"/>
  <c r="M19" i="1"/>
  <c r="M20" i="1"/>
  <c r="M21" i="1"/>
  <c r="M22" i="1"/>
  <c r="K25" i="1"/>
  <c r="K26" i="1"/>
  <c r="K27" i="1"/>
  <c r="K24" i="1"/>
  <c r="H12" i="1"/>
  <c r="H13" i="1"/>
  <c r="H14" i="1"/>
  <c r="H15" i="1"/>
  <c r="H16" i="1"/>
  <c r="H17" i="1"/>
  <c r="H18" i="1"/>
  <c r="H19" i="1"/>
  <c r="H20" i="1"/>
  <c r="H21" i="1"/>
  <c r="H22" i="1"/>
  <c r="H23" i="1"/>
  <c r="H24" i="1"/>
  <c r="F6" i="1"/>
  <c r="F7" i="1"/>
  <c r="F8" i="1"/>
  <c r="F9" i="1"/>
  <c r="F10" i="1"/>
  <c r="F11" i="1"/>
  <c r="F12" i="1"/>
  <c r="F13" i="1"/>
  <c r="F14" i="1"/>
  <c r="F15" i="1"/>
  <c r="F16" i="1"/>
  <c r="F17" i="1"/>
  <c r="F18" i="1"/>
  <c r="F19" i="1"/>
  <c r="F20" i="1"/>
  <c r="F21" i="1"/>
  <c r="F22" i="1"/>
  <c r="B6" i="1"/>
  <c r="B7" i="1"/>
  <c r="B8" i="1"/>
  <c r="B9" i="1"/>
  <c r="R9" i="1" s="1"/>
  <c r="B10" i="1"/>
  <c r="R10" i="1" s="1"/>
  <c r="B11" i="1"/>
  <c r="B12" i="1" s="1"/>
  <c r="B5" i="1"/>
  <c r="R5" i="1" s="1"/>
  <c r="R6" i="1"/>
  <c r="R8" i="1"/>
  <c r="H4" i="1"/>
  <c r="K4" i="1"/>
  <c r="L4" i="1" s="1"/>
  <c r="M4" i="1"/>
  <c r="N4" i="1"/>
  <c r="O4" i="1"/>
  <c r="P4" i="1"/>
  <c r="R4" i="1"/>
  <c r="H5" i="1"/>
  <c r="K5" i="1"/>
  <c r="L5" i="1"/>
  <c r="M5" i="1"/>
  <c r="N5" i="1"/>
  <c r="O5" i="1"/>
  <c r="P5" i="1"/>
  <c r="H6" i="1"/>
  <c r="K6" i="1"/>
  <c r="L6" i="1" s="1"/>
  <c r="M6" i="1"/>
  <c r="N6" i="1"/>
  <c r="O6" i="1"/>
  <c r="P6" i="1"/>
  <c r="H7" i="1"/>
  <c r="K7" i="1"/>
  <c r="L7" i="1"/>
  <c r="M7" i="1"/>
  <c r="N7" i="1"/>
  <c r="O7" i="1"/>
  <c r="P7" i="1"/>
  <c r="H8" i="1"/>
  <c r="K8" i="1"/>
  <c r="L8" i="1" s="1"/>
  <c r="M8" i="1"/>
  <c r="O8" i="1"/>
  <c r="P8" i="1"/>
  <c r="H9" i="1"/>
  <c r="K9" i="1"/>
  <c r="L9" i="1" s="1"/>
  <c r="M9" i="1"/>
  <c r="O9" i="1"/>
  <c r="P9" i="1"/>
  <c r="H10" i="1"/>
  <c r="K10" i="1"/>
  <c r="L10" i="1" s="1"/>
  <c r="O10" i="1"/>
  <c r="P10" i="1" s="1"/>
  <c r="H11" i="1"/>
  <c r="K11" i="1"/>
  <c r="L11" i="1" s="1"/>
  <c r="O11" i="1"/>
  <c r="P11" i="1" s="1"/>
  <c r="K12" i="1"/>
  <c r="L12" i="1" s="1"/>
  <c r="O12" i="1"/>
  <c r="P12" i="1"/>
  <c r="K13" i="1"/>
  <c r="L13" i="1" s="1"/>
  <c r="O13" i="1"/>
  <c r="P13" i="1" s="1"/>
  <c r="K14" i="1"/>
  <c r="L14" i="1"/>
  <c r="O14" i="1"/>
  <c r="P14" i="1" s="1"/>
  <c r="K15" i="1"/>
  <c r="L15" i="1"/>
  <c r="O15" i="1"/>
  <c r="P15" i="1"/>
  <c r="K16" i="1"/>
  <c r="L16" i="1" s="1"/>
  <c r="O16" i="1"/>
  <c r="P16" i="1"/>
  <c r="M24" i="1"/>
  <c r="M25" i="1"/>
  <c r="M26" i="1"/>
  <c r="M27" i="1"/>
  <c r="M23" i="1"/>
  <c r="N23" i="1"/>
  <c r="N21" i="1"/>
  <c r="N22" i="1"/>
  <c r="N25" i="1"/>
  <c r="N26" i="1"/>
  <c r="N27" i="1"/>
  <c r="N24" i="1"/>
  <c r="K18" i="1"/>
  <c r="L18" i="1" s="1"/>
  <c r="K19" i="1"/>
  <c r="L19" i="1" s="1"/>
  <c r="K20" i="1"/>
  <c r="L20" i="1" s="1"/>
  <c r="K21" i="1"/>
  <c r="L21" i="1" s="1"/>
  <c r="K22" i="1"/>
  <c r="L22" i="1" s="1"/>
  <c r="K23" i="1"/>
  <c r="L23" i="1" s="1"/>
  <c r="K17" i="1"/>
  <c r="L17" i="1" s="1"/>
  <c r="C10" i="2" l="1"/>
  <c r="C8" i="2"/>
  <c r="C16" i="2"/>
  <c r="C19" i="2"/>
  <c r="Q14" i="2"/>
  <c r="C14" i="2" s="1"/>
  <c r="L24" i="2"/>
  <c r="Q24" i="2" s="1"/>
  <c r="C20" i="2"/>
  <c r="Q8" i="2"/>
  <c r="L27" i="2"/>
  <c r="Q27" i="2" s="1"/>
  <c r="C22" i="2"/>
  <c r="L26" i="2"/>
  <c r="Q26" i="2" s="1"/>
  <c r="C27" i="2" s="1"/>
  <c r="C21" i="2"/>
  <c r="C24" i="2"/>
  <c r="C12" i="2"/>
  <c r="B7" i="2"/>
  <c r="R6" i="2"/>
  <c r="C9" i="2"/>
  <c r="C23" i="2"/>
  <c r="F27" i="2"/>
  <c r="C7" i="2"/>
  <c r="C13" i="2"/>
  <c r="C18" i="2"/>
  <c r="C17" i="2"/>
  <c r="C11" i="2"/>
  <c r="C15" i="2"/>
  <c r="L5" i="2"/>
  <c r="L6" i="2"/>
  <c r="Q6" i="2" s="1"/>
  <c r="P5" i="2"/>
  <c r="L7" i="2"/>
  <c r="Q7" i="2" s="1"/>
  <c r="L25" i="2"/>
  <c r="Q25" i="2" s="1"/>
  <c r="C26" i="2" s="1"/>
  <c r="P24" i="2"/>
  <c r="P6" i="2"/>
  <c r="P7" i="2"/>
  <c r="L27" i="1"/>
  <c r="L25" i="1"/>
  <c r="L26" i="1"/>
  <c r="P26" i="1"/>
  <c r="P24" i="1"/>
  <c r="P27" i="1"/>
  <c r="Q4" i="1"/>
  <c r="S4" i="1" s="1"/>
  <c r="Q8" i="1"/>
  <c r="S8" i="1" s="1"/>
  <c r="Q5" i="1"/>
  <c r="S5" i="1" s="1"/>
  <c r="Q7" i="1"/>
  <c r="C7" i="1" s="1"/>
  <c r="D7" i="1" s="1"/>
  <c r="Q12" i="1"/>
  <c r="C12" i="1" s="1"/>
  <c r="D12" i="1" s="1"/>
  <c r="L24" i="1"/>
  <c r="Q6" i="1"/>
  <c r="S6" i="1" s="1"/>
  <c r="P25" i="1"/>
  <c r="Q9" i="1"/>
  <c r="C9" i="1" s="1"/>
  <c r="D9" i="1" s="1"/>
  <c r="Q14" i="1"/>
  <c r="C14" i="1" s="1"/>
  <c r="Q10" i="1"/>
  <c r="S10" i="1" s="1"/>
  <c r="Q13" i="1"/>
  <c r="C13" i="1" s="1"/>
  <c r="D13" i="1" s="1"/>
  <c r="Q15" i="1"/>
  <c r="C15" i="1" s="1"/>
  <c r="R7" i="1"/>
  <c r="Q11" i="1"/>
  <c r="S11" i="1" s="1"/>
  <c r="Q16" i="1"/>
  <c r="C16" i="1" s="1"/>
  <c r="B13" i="1"/>
  <c r="R12" i="1"/>
  <c r="R11" i="1"/>
  <c r="H26" i="1"/>
  <c r="H27" i="1"/>
  <c r="H25" i="1"/>
  <c r="Q18" i="1"/>
  <c r="Q17" i="1"/>
  <c r="F23" i="1"/>
  <c r="F24" i="1"/>
  <c r="F25" i="1" s="1"/>
  <c r="F26" i="1" s="1"/>
  <c r="F27" i="1" s="1"/>
  <c r="C25" i="2" l="1"/>
  <c r="Q5" i="2"/>
  <c r="S5" i="2" s="1"/>
  <c r="C6" i="2"/>
  <c r="D6" i="2" s="1"/>
  <c r="S6" i="2"/>
  <c r="S7" i="2"/>
  <c r="D7" i="2"/>
  <c r="R7" i="2"/>
  <c r="B8" i="2"/>
  <c r="C4" i="2"/>
  <c r="D4" i="2" s="1"/>
  <c r="S4" i="2"/>
  <c r="C4" i="1"/>
  <c r="D4" i="1" s="1"/>
  <c r="S7" i="1"/>
  <c r="C6" i="1"/>
  <c r="D6" i="1" s="1"/>
  <c r="S12" i="1"/>
  <c r="C5" i="1"/>
  <c r="D5" i="1" s="1"/>
  <c r="C8" i="1"/>
  <c r="D8" i="1" s="1"/>
  <c r="S9" i="1"/>
  <c r="C10" i="1"/>
  <c r="D10" i="1" s="1"/>
  <c r="S13" i="1"/>
  <c r="C11" i="1"/>
  <c r="D11" i="1" s="1"/>
  <c r="B14" i="1"/>
  <c r="R13" i="1"/>
  <c r="D14" i="1"/>
  <c r="Q24" i="1"/>
  <c r="C25" i="1" s="1"/>
  <c r="Q23" i="1"/>
  <c r="C24" i="1" s="1"/>
  <c r="Q20" i="1"/>
  <c r="C18" i="1"/>
  <c r="C17" i="1"/>
  <c r="C19" i="1"/>
  <c r="Q27" i="1"/>
  <c r="Q26" i="1"/>
  <c r="Q22" i="1"/>
  <c r="Q21" i="1"/>
  <c r="Q25" i="1"/>
  <c r="Q19" i="1"/>
  <c r="C5" i="2" l="1"/>
  <c r="D5" i="2" s="1"/>
  <c r="S8" i="2"/>
  <c r="R8" i="2"/>
  <c r="B9" i="2"/>
  <c r="D8" i="2"/>
  <c r="B15" i="1"/>
  <c r="R14" i="1"/>
  <c r="S14" i="1"/>
  <c r="C21" i="1"/>
  <c r="C20" i="1"/>
  <c r="C26" i="1"/>
  <c r="C22" i="1"/>
  <c r="C23" i="1"/>
  <c r="C27" i="1"/>
  <c r="B10" i="2" l="1"/>
  <c r="D9" i="2"/>
  <c r="S9" i="2"/>
  <c r="R9" i="2"/>
  <c r="B16" i="1"/>
  <c r="R15" i="1"/>
  <c r="S15" i="1"/>
  <c r="D15" i="1"/>
  <c r="B11" i="2" l="1"/>
  <c r="S10" i="2"/>
  <c r="D10" i="2"/>
  <c r="R16" i="1"/>
  <c r="B17" i="1"/>
  <c r="S16" i="1"/>
  <c r="D16" i="1"/>
  <c r="S11" i="2" l="1"/>
  <c r="B12" i="2"/>
  <c r="D11" i="2"/>
  <c r="R17" i="1"/>
  <c r="B18" i="1"/>
  <c r="S17" i="1"/>
  <c r="D17" i="1"/>
  <c r="B13" i="2" l="1"/>
  <c r="D12" i="2"/>
  <c r="S12" i="2"/>
  <c r="R18" i="1"/>
  <c r="B19" i="1"/>
  <c r="S18" i="1"/>
  <c r="D18" i="1"/>
  <c r="B14" i="2" l="1"/>
  <c r="D13" i="2"/>
  <c r="S13" i="2"/>
  <c r="B20" i="1"/>
  <c r="R19" i="1"/>
  <c r="S19" i="1"/>
  <c r="D19" i="1"/>
  <c r="S14" i="2" l="1"/>
  <c r="B15" i="2"/>
  <c r="D14" i="2"/>
  <c r="R20" i="1"/>
  <c r="B21" i="1"/>
  <c r="S20" i="1"/>
  <c r="D20" i="1"/>
  <c r="B16" i="2" l="1"/>
  <c r="D15" i="2"/>
  <c r="S15" i="2"/>
  <c r="B22" i="1"/>
  <c r="R21" i="1"/>
  <c r="S21" i="1"/>
  <c r="D21" i="1"/>
  <c r="D16" i="2" l="1"/>
  <c r="S16" i="2"/>
  <c r="B17" i="2"/>
  <c r="D22" i="1"/>
  <c r="S22" i="1"/>
  <c r="B23" i="1"/>
  <c r="R22" i="1"/>
  <c r="S17" i="2" l="1"/>
  <c r="B18" i="2"/>
  <c r="D17" i="2"/>
  <c r="B24" i="1"/>
  <c r="R23" i="1"/>
  <c r="D23" i="1"/>
  <c r="S23" i="1"/>
  <c r="B19" i="2" l="1"/>
  <c r="D18" i="2"/>
  <c r="S18" i="2"/>
  <c r="S24" i="1"/>
  <c r="R24" i="1"/>
  <c r="B25" i="1"/>
  <c r="B20" i="2" l="1"/>
  <c r="D19" i="2"/>
  <c r="S19" i="2"/>
  <c r="R25" i="1"/>
  <c r="B26" i="1"/>
  <c r="S25" i="1"/>
  <c r="B21" i="2" l="1"/>
  <c r="S20" i="2"/>
  <c r="D20" i="2"/>
  <c r="B27" i="1"/>
  <c r="R26" i="1"/>
  <c r="S26" i="1"/>
  <c r="S21" i="2" l="1"/>
  <c r="B22" i="2"/>
  <c r="D21" i="2"/>
  <c r="R27" i="1"/>
  <c r="S27" i="1"/>
  <c r="S22" i="2" l="1"/>
  <c r="B23" i="2"/>
  <c r="D22" i="2"/>
  <c r="S23" i="2" l="1"/>
  <c r="B24" i="2"/>
  <c r="D23" i="2"/>
  <c r="R23" i="2"/>
  <c r="B25" i="2" l="1"/>
  <c r="D24" i="2"/>
  <c r="S24" i="2"/>
  <c r="R24" i="2"/>
  <c r="B26" i="2" l="1"/>
  <c r="D25" i="2"/>
  <c r="S25" i="2"/>
  <c r="R25" i="2"/>
  <c r="B27" i="2" l="1"/>
  <c r="D26" i="2"/>
  <c r="S26" i="2"/>
  <c r="R26" i="2"/>
  <c r="S27" i="2" l="1"/>
  <c r="R27" i="2"/>
  <c r="D27" i="2"/>
  <c r="D24" i="1" l="1"/>
  <c r="D25" i="1" l="1"/>
  <c r="D27" i="1" l="1"/>
  <c r="D26" i="1"/>
</calcChain>
</file>

<file path=xl/sharedStrings.xml><?xml version="1.0" encoding="utf-8"?>
<sst xmlns="http://schemas.openxmlformats.org/spreadsheetml/2006/main" count="182" uniqueCount="73">
  <si>
    <t>Day 0</t>
  </si>
  <si>
    <t>Day 1</t>
  </si>
  <si>
    <t>Day 2</t>
  </si>
  <si>
    <t>Day 3</t>
  </si>
  <si>
    <t>Suspend RTM Activity using "Termination" process</t>
  </si>
  <si>
    <t>Collateral Call (start process of suspending RTM)</t>
  </si>
  <si>
    <t>ACL for DAM</t>
  </si>
  <si>
    <t>For TAO, how quickly can RTM activity be suspended?</t>
  </si>
  <si>
    <t>Collateral</t>
  </si>
  <si>
    <t>TPE</t>
  </si>
  <si>
    <t>Collateral Due</t>
  </si>
  <si>
    <t>(ACL at 6:00am)</t>
  </si>
  <si>
    <t>DAM for OD+1</t>
  </si>
  <si>
    <t>RTM for OD</t>
  </si>
  <si>
    <t>DAM for OD + RTM for OD-1 included</t>
  </si>
  <si>
    <t>Counter Party paid all invoices</t>
  </si>
  <si>
    <t>Day -7</t>
  </si>
  <si>
    <t>Day -6</t>
  </si>
  <si>
    <t>Day -5</t>
  </si>
  <si>
    <t>Day -4</t>
  </si>
  <si>
    <t>Day -3</t>
  </si>
  <si>
    <t>Day -2</t>
  </si>
  <si>
    <t>Day -1</t>
  </si>
  <si>
    <t>Activity</t>
  </si>
  <si>
    <t>RTLCNS for OD</t>
  </si>
  <si>
    <t>RTLF for OD</t>
  </si>
  <si>
    <t>OUT</t>
  </si>
  <si>
    <t>(previous 3 days of DAM activity)</t>
  </si>
  <si>
    <t>Actual Exposure</t>
  </si>
  <si>
    <t>Calculated Exposure</t>
  </si>
  <si>
    <t>If RTM activity can be suspended for TAO in 3-5 days, there is 1 day of DAM exposure not captured in OUT and 3-5 days of RTM activity not captured in RTLCNS and RTLF from day of collateral call to suspension.</t>
  </si>
  <si>
    <t>For TAO, set M1 and M2 based on days to suspend activity rather than days to terminate.</t>
  </si>
  <si>
    <t>DFAF</t>
  </si>
  <si>
    <t>M1</t>
  </si>
  <si>
    <t>M2</t>
  </si>
  <si>
    <t>URTA</t>
  </si>
  <si>
    <t>RFAF</t>
  </si>
  <si>
    <t>RTLE</t>
  </si>
  <si>
    <t>Max RTLE</t>
  </si>
  <si>
    <t>RFAF x Max(RTLE over previous 20 days)</t>
  </si>
  <si>
    <t>Max URTA</t>
  </si>
  <si>
    <t>Max(URTA over previous 20 days)</t>
  </si>
  <si>
    <t>M1 x (previous 7 days settled DAM activity)/7</t>
  </si>
  <si>
    <t>M1 x (previous 14 days settled RTM activity)/14</t>
  </si>
  <si>
    <t>DFAF x DALE</t>
  </si>
  <si>
    <t>M2 x (previous 14 days settled RTM activity)/14</t>
  </si>
  <si>
    <t>EAL</t>
  </si>
  <si>
    <t>Day</t>
  </si>
  <si>
    <t>(at COB of OD - sets TPE for OD+1)</t>
  </si>
  <si>
    <t>Counter Party stops paying invoices</t>
  </si>
  <si>
    <t>Minimum</t>
  </si>
  <si>
    <t xml:space="preserve"> Activity</t>
  </si>
  <si>
    <t>TAO Credit and Suspension [EALt = Max [RFAF * Max {RTLE during the previous lrt days}, RTLF] + DFAF * DALE + Max [RTLCNS, Max {URTA during the previous lrt days}] + OUTt ]</t>
  </si>
  <si>
    <t>Sum of previous 5 RTM max(1.1 x RTM Activity, 0.9 x RTM Activity)</t>
  </si>
  <si>
    <t>1.5 x Sum of previous 7 RTM max(1.1 x RTM Activity, 0.9 x RTM Activity)</t>
  </si>
  <si>
    <t>Day -17</t>
  </si>
  <si>
    <t>Day -16</t>
  </si>
  <si>
    <t>Day -15</t>
  </si>
  <si>
    <t>Day -14</t>
  </si>
  <si>
    <t>Day -13</t>
  </si>
  <si>
    <t>Day -12</t>
  </si>
  <si>
    <t>Day -11</t>
  </si>
  <si>
    <t>Day -10</t>
  </si>
  <si>
    <t>Day -9</t>
  </si>
  <si>
    <t>Day -8</t>
  </si>
  <si>
    <t>Day -20</t>
  </si>
  <si>
    <t>Day -19</t>
  </si>
  <si>
    <t>Day -18</t>
  </si>
  <si>
    <t>Adjusting M1 and M2 for TAO also addresses the example of QSE exporting when prices are relatively lower in ERCOT and then importing when prices are relatively higher in ERCOT being stopped from helping ERCOT system due to unnecessary collateral call</t>
  </si>
  <si>
    <t>(OUT + previous 7 days RTM activity - Collateral)</t>
  </si>
  <si>
    <t>(EAL - Collateral)</t>
  </si>
  <si>
    <t>Suggested if RTM suspension in 3 days</t>
  </si>
  <si>
    <t>TAO Credit and Suspension [EALt = Max [RFAF * Max {RTLE during the previous lrt days}, RTLF] + DFAF * DALE + RTL + OUTt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</si>
</sst>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4"/>
      <color theme="1"/>
      <name val="Calibri"/>
      <family val="2"/>
      <scheme val="minor"/>
    </font>
    <font>
      <sz val="11"/>
      <color theme="2" tint="-0.499984740745262"/>
      <name val="Calibri"/>
      <family val="2"/>
      <scheme val="minor"/>
    </font>
  </fonts>
  <fills count="11">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tint="-0.14999847407452621"/>
        <bgColor indexed="64"/>
      </patternFill>
    </fill>
  </fills>
  <borders count="1">
    <border>
      <left/>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34">
    <xf numFmtId="0" fontId="0" fillId="0" borderId="0" xfId="0"/>
    <xf numFmtId="0" fontId="2" fillId="0" borderId="0" xfId="0" applyFont="1" applyAlignment="1">
      <alignment horizontal="center"/>
    </xf>
    <xf numFmtId="0" fontId="2" fillId="0" borderId="0" xfId="0" applyFont="1"/>
    <xf numFmtId="44" fontId="0" fillId="0" borderId="0" xfId="1" applyFont="1"/>
    <xf numFmtId="164" fontId="0" fillId="0" borderId="0" xfId="1" applyNumberFormat="1" applyFont="1"/>
    <xf numFmtId="0" fontId="2" fillId="2" borderId="0" xfId="0" applyFont="1" applyFill="1" applyAlignment="1">
      <alignment horizontal="center"/>
    </xf>
    <xf numFmtId="0" fontId="2" fillId="2" borderId="0" xfId="0" applyFont="1" applyFill="1" applyAlignment="1">
      <alignment horizontal="center" wrapText="1"/>
    </xf>
    <xf numFmtId="0" fontId="0" fillId="3" borderId="0" xfId="0" applyFill="1"/>
    <xf numFmtId="0" fontId="0" fillId="4" borderId="0" xfId="0" applyFill="1"/>
    <xf numFmtId="0" fontId="4" fillId="0" borderId="0" xfId="0" applyFont="1"/>
    <xf numFmtId="43" fontId="0" fillId="0" borderId="0" xfId="2" applyFont="1"/>
    <xf numFmtId="0" fontId="0" fillId="0" borderId="0" xfId="0" applyFill="1"/>
    <xf numFmtId="0" fontId="2" fillId="5" borderId="0" xfId="0" applyFont="1" applyFill="1" applyAlignment="1">
      <alignment horizontal="center"/>
    </xf>
    <xf numFmtId="0" fontId="2" fillId="6" borderId="0" xfId="0" applyFont="1" applyFill="1" applyAlignment="1">
      <alignment horizontal="center"/>
    </xf>
    <xf numFmtId="0" fontId="2" fillId="6" borderId="0" xfId="0" applyFont="1" applyFill="1" applyAlignment="1">
      <alignment horizontal="center" wrapText="1"/>
    </xf>
    <xf numFmtId="0" fontId="2" fillId="7" borderId="0" xfId="0" applyFont="1" applyFill="1" applyAlignment="1">
      <alignment horizontal="center"/>
    </xf>
    <xf numFmtId="0" fontId="2" fillId="8" borderId="0" xfId="0" applyFont="1" applyFill="1" applyAlignment="1">
      <alignment horizontal="center"/>
    </xf>
    <xf numFmtId="0" fontId="2" fillId="8" borderId="0" xfId="0" applyFont="1" applyFill="1" applyAlignment="1">
      <alignment horizontal="center" wrapText="1"/>
    </xf>
    <xf numFmtId="0" fontId="2" fillId="9" borderId="0" xfId="0" applyFont="1" applyFill="1" applyAlignment="1">
      <alignment horizontal="center"/>
    </xf>
    <xf numFmtId="0" fontId="2" fillId="9" borderId="0" xfId="0" applyFont="1" applyFill="1" applyAlignment="1">
      <alignment horizontal="center" wrapText="1"/>
    </xf>
    <xf numFmtId="0" fontId="2" fillId="0" borderId="0" xfId="0" applyFont="1" applyFill="1"/>
    <xf numFmtId="164" fontId="2" fillId="0" borderId="0" xfId="1" applyNumberFormat="1" applyFont="1"/>
    <xf numFmtId="43" fontId="2" fillId="0" borderId="0" xfId="2" applyFont="1"/>
    <xf numFmtId="164" fontId="0" fillId="3" borderId="0" xfId="1" applyNumberFormat="1" applyFont="1" applyFill="1"/>
    <xf numFmtId="44" fontId="0" fillId="3" borderId="0" xfId="1" applyFont="1" applyFill="1"/>
    <xf numFmtId="43" fontId="0" fillId="3" borderId="0" xfId="2" applyFont="1" applyFill="1"/>
    <xf numFmtId="44" fontId="0" fillId="0" borderId="0" xfId="1" applyFont="1" applyFill="1"/>
    <xf numFmtId="0" fontId="2" fillId="0" borderId="0" xfId="0" applyFont="1" applyFill="1" applyAlignment="1">
      <alignment horizontal="center"/>
    </xf>
    <xf numFmtId="43" fontId="5" fillId="0" borderId="0" xfId="2" applyFont="1"/>
    <xf numFmtId="44" fontId="5" fillId="0" borderId="0" xfId="1" applyFont="1"/>
    <xf numFmtId="0" fontId="2" fillId="10" borderId="0" xfId="0" applyFont="1" applyFill="1" applyAlignment="1">
      <alignment horizontal="center"/>
    </xf>
    <xf numFmtId="0" fontId="2" fillId="10" borderId="0" xfId="0" applyFont="1" applyFill="1" applyAlignment="1">
      <alignment horizontal="center" wrapText="1"/>
    </xf>
    <xf numFmtId="44" fontId="5" fillId="10" borderId="0" xfId="1" applyFont="1" applyFill="1"/>
    <xf numFmtId="44" fontId="0" fillId="10" borderId="0" xfId="1" applyFont="1" applyFill="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239D-62D2-4BA8-B537-C461FA1BC594}">
  <dimension ref="A1:T38"/>
  <sheetViews>
    <sheetView tabSelected="1" workbookViewId="0">
      <selection activeCell="B29" sqref="B29"/>
    </sheetView>
  </sheetViews>
  <sheetFormatPr defaultRowHeight="15" x14ac:dyDescent="0.25"/>
  <cols>
    <col min="2" max="2" width="9.85546875" bestFit="1" customWidth="1"/>
    <col min="3" max="3" width="14.42578125" customWidth="1"/>
    <col min="4" max="5" width="13.85546875" customWidth="1"/>
    <col min="6" max="6" width="15" bestFit="1" customWidth="1"/>
    <col min="7" max="16" width="15" customWidth="1"/>
    <col min="17" max="18" width="12.85546875" customWidth="1"/>
    <col min="19" max="19" width="15.140625" bestFit="1" customWidth="1"/>
  </cols>
  <sheetData>
    <row r="1" spans="1:20" ht="18.75" x14ac:dyDescent="0.3">
      <c r="A1" s="9" t="s">
        <v>52</v>
      </c>
      <c r="B1" s="2"/>
      <c r="C1" s="2"/>
    </row>
    <row r="2" spans="1:20" s="1" customFormat="1" ht="30" x14ac:dyDescent="0.25">
      <c r="A2" s="5" t="s">
        <v>47</v>
      </c>
      <c r="B2" s="5" t="s">
        <v>8</v>
      </c>
      <c r="C2" s="5" t="s">
        <v>9</v>
      </c>
      <c r="D2" s="5" t="s">
        <v>6</v>
      </c>
      <c r="E2" s="12" t="s">
        <v>12</v>
      </c>
      <c r="F2" s="13" t="s">
        <v>26</v>
      </c>
      <c r="G2" s="13" t="s">
        <v>32</v>
      </c>
      <c r="H2" s="13" t="s">
        <v>44</v>
      </c>
      <c r="I2" s="15" t="s">
        <v>13</v>
      </c>
      <c r="J2" s="16" t="s">
        <v>36</v>
      </c>
      <c r="K2" s="16" t="s">
        <v>37</v>
      </c>
      <c r="L2" s="16" t="s">
        <v>38</v>
      </c>
      <c r="M2" s="16" t="s">
        <v>25</v>
      </c>
      <c r="N2" s="18" t="s">
        <v>24</v>
      </c>
      <c r="O2" s="18" t="s">
        <v>35</v>
      </c>
      <c r="P2" s="18" t="s">
        <v>40</v>
      </c>
      <c r="Q2" s="5" t="s">
        <v>46</v>
      </c>
      <c r="R2" s="6" t="s">
        <v>28</v>
      </c>
      <c r="S2" s="6" t="s">
        <v>29</v>
      </c>
    </row>
    <row r="3" spans="1:20" s="1" customFormat="1" ht="75" x14ac:dyDescent="0.25">
      <c r="A3" s="5"/>
      <c r="B3" s="5"/>
      <c r="C3" s="6" t="s">
        <v>14</v>
      </c>
      <c r="D3" s="5" t="s">
        <v>11</v>
      </c>
      <c r="E3" s="12" t="s">
        <v>51</v>
      </c>
      <c r="F3" s="14" t="s">
        <v>27</v>
      </c>
      <c r="G3" s="14"/>
      <c r="H3" s="14" t="s">
        <v>42</v>
      </c>
      <c r="I3" s="15" t="s">
        <v>23</v>
      </c>
      <c r="J3" s="16"/>
      <c r="K3" s="17" t="s">
        <v>43</v>
      </c>
      <c r="L3" s="17" t="s">
        <v>39</v>
      </c>
      <c r="M3" s="17" t="s">
        <v>54</v>
      </c>
      <c r="N3" s="19" t="s">
        <v>53</v>
      </c>
      <c r="O3" s="19" t="s">
        <v>45</v>
      </c>
      <c r="P3" s="19" t="s">
        <v>41</v>
      </c>
      <c r="Q3" s="6" t="s">
        <v>48</v>
      </c>
      <c r="R3" s="6" t="s">
        <v>69</v>
      </c>
      <c r="S3" s="6" t="s">
        <v>70</v>
      </c>
    </row>
    <row r="4" spans="1:20" s="27" customFormat="1" x14ac:dyDescent="0.25">
      <c r="A4" t="s">
        <v>65</v>
      </c>
      <c r="B4" s="4">
        <v>200000</v>
      </c>
      <c r="C4" s="4">
        <f t="shared" ref="C4:C16" si="0">Q4</f>
        <v>167750</v>
      </c>
      <c r="D4" s="3">
        <f t="shared" ref="D4:D16" si="1">B4-C4*1.1</f>
        <v>15474.999999999971</v>
      </c>
      <c r="E4" s="29">
        <v>5000</v>
      </c>
      <c r="F4" s="29">
        <v>15000</v>
      </c>
      <c r="G4" s="10">
        <v>1</v>
      </c>
      <c r="H4" s="28">
        <f t="shared" ref="H4:H11" si="2">G4*$B$30*5000</f>
        <v>50000</v>
      </c>
      <c r="I4" s="29">
        <v>5000</v>
      </c>
      <c r="J4" s="10">
        <v>1</v>
      </c>
      <c r="K4" s="29">
        <f t="shared" ref="K4:K16" si="3">$B$30*$I$17</f>
        <v>50000</v>
      </c>
      <c r="L4" s="29">
        <f t="shared" ref="L4:L16" si="4">J4*K4</f>
        <v>50000</v>
      </c>
      <c r="M4" s="29">
        <f t="shared" ref="M4:M9" si="5">1.1*1.5*7*5000</f>
        <v>57750</v>
      </c>
      <c r="N4" s="29">
        <f t="shared" ref="N4:N7" si="6">1.1*5*5000</f>
        <v>27500</v>
      </c>
      <c r="O4" s="29">
        <f t="shared" ref="O4:O21" si="7">$B$31*5000</f>
        <v>45000</v>
      </c>
      <c r="P4" s="29">
        <f t="shared" ref="P4:P16" si="8">O4</f>
        <v>45000</v>
      </c>
      <c r="Q4" s="3">
        <f t="shared" ref="Q4:Q16" si="9">MAX(L4,M4)+H4+MAX(N4,P4)+F4</f>
        <v>167750</v>
      </c>
      <c r="R4" s="3">
        <f t="shared" ref="R4:R16" si="10">-(B4-F4-I4*7)</f>
        <v>-150000</v>
      </c>
      <c r="S4" s="3">
        <f t="shared" ref="S4:S16" si="11">-(B4-Q4)</f>
        <v>-32250</v>
      </c>
      <c r="T4" t="s">
        <v>15</v>
      </c>
    </row>
    <row r="5" spans="1:20" s="27" customFormat="1" x14ac:dyDescent="0.25">
      <c r="A5" t="s">
        <v>66</v>
      </c>
      <c r="B5" s="4">
        <f>B4</f>
        <v>200000</v>
      </c>
      <c r="C5" s="4">
        <f t="shared" si="0"/>
        <v>167750</v>
      </c>
      <c r="D5" s="3">
        <f t="shared" si="1"/>
        <v>15474.999999999971</v>
      </c>
      <c r="E5" s="29">
        <v>5000</v>
      </c>
      <c r="F5" s="29">
        <v>15000</v>
      </c>
      <c r="G5" s="10">
        <v>1</v>
      </c>
      <c r="H5" s="28">
        <f t="shared" si="2"/>
        <v>50000</v>
      </c>
      <c r="I5" s="29">
        <v>5000</v>
      </c>
      <c r="J5" s="10">
        <v>1</v>
      </c>
      <c r="K5" s="29">
        <f t="shared" si="3"/>
        <v>50000</v>
      </c>
      <c r="L5" s="29">
        <f t="shared" si="4"/>
        <v>50000</v>
      </c>
      <c r="M5" s="29">
        <f t="shared" si="5"/>
        <v>57750</v>
      </c>
      <c r="N5" s="29">
        <f t="shared" si="6"/>
        <v>27500</v>
      </c>
      <c r="O5" s="29">
        <f t="shared" si="7"/>
        <v>45000</v>
      </c>
      <c r="P5" s="29">
        <f t="shared" si="8"/>
        <v>45000</v>
      </c>
      <c r="Q5" s="3">
        <f t="shared" si="9"/>
        <v>167750</v>
      </c>
      <c r="R5" s="3">
        <f t="shared" si="10"/>
        <v>-150000</v>
      </c>
      <c r="S5" s="3">
        <f t="shared" si="11"/>
        <v>-32250</v>
      </c>
      <c r="T5" t="s">
        <v>15</v>
      </c>
    </row>
    <row r="6" spans="1:20" s="27" customFormat="1" x14ac:dyDescent="0.25">
      <c r="A6" t="s">
        <v>67</v>
      </c>
      <c r="B6" s="4">
        <f t="shared" ref="B6:B18" si="12">B5</f>
        <v>200000</v>
      </c>
      <c r="C6" s="4">
        <f t="shared" si="0"/>
        <v>167750</v>
      </c>
      <c r="D6" s="3">
        <f t="shared" si="1"/>
        <v>15474.999999999971</v>
      </c>
      <c r="E6" s="3">
        <v>5000</v>
      </c>
      <c r="F6" s="3">
        <f t="shared" ref="F6:F22" si="13">SUM(E4:E6)</f>
        <v>15000</v>
      </c>
      <c r="G6" s="10">
        <v>1</v>
      </c>
      <c r="H6" s="28">
        <f t="shared" si="2"/>
        <v>50000</v>
      </c>
      <c r="I6" s="29">
        <v>5000</v>
      </c>
      <c r="J6" s="10">
        <v>1</v>
      </c>
      <c r="K6" s="29">
        <f t="shared" si="3"/>
        <v>50000</v>
      </c>
      <c r="L6" s="29">
        <f t="shared" si="4"/>
        <v>50000</v>
      </c>
      <c r="M6" s="29">
        <f t="shared" si="5"/>
        <v>57750</v>
      </c>
      <c r="N6" s="29">
        <f t="shared" si="6"/>
        <v>27500</v>
      </c>
      <c r="O6" s="29">
        <f t="shared" si="7"/>
        <v>45000</v>
      </c>
      <c r="P6" s="29">
        <f t="shared" si="8"/>
        <v>45000</v>
      </c>
      <c r="Q6" s="3">
        <f t="shared" si="9"/>
        <v>167750</v>
      </c>
      <c r="R6" s="3">
        <f t="shared" si="10"/>
        <v>-150000</v>
      </c>
      <c r="S6" s="3">
        <f t="shared" si="11"/>
        <v>-32250</v>
      </c>
      <c r="T6" t="s">
        <v>15</v>
      </c>
    </row>
    <row r="7" spans="1:20" s="27" customFormat="1" x14ac:dyDescent="0.25">
      <c r="A7" t="s">
        <v>55</v>
      </c>
      <c r="B7" s="4">
        <f t="shared" si="12"/>
        <v>200000</v>
      </c>
      <c r="C7" s="4">
        <f t="shared" si="0"/>
        <v>167750</v>
      </c>
      <c r="D7" s="3">
        <f t="shared" si="1"/>
        <v>15474.999999999971</v>
      </c>
      <c r="E7" s="3">
        <v>5000</v>
      </c>
      <c r="F7" s="3">
        <f t="shared" si="13"/>
        <v>15000</v>
      </c>
      <c r="G7" s="10">
        <v>1</v>
      </c>
      <c r="H7" s="28">
        <f t="shared" si="2"/>
        <v>50000</v>
      </c>
      <c r="I7" s="29">
        <v>5000</v>
      </c>
      <c r="J7" s="10">
        <v>1</v>
      </c>
      <c r="K7" s="29">
        <f t="shared" si="3"/>
        <v>50000</v>
      </c>
      <c r="L7" s="29">
        <f t="shared" si="4"/>
        <v>50000</v>
      </c>
      <c r="M7" s="29">
        <f t="shared" si="5"/>
        <v>57750</v>
      </c>
      <c r="N7" s="29">
        <f t="shared" si="6"/>
        <v>27500</v>
      </c>
      <c r="O7" s="29">
        <f t="shared" si="7"/>
        <v>45000</v>
      </c>
      <c r="P7" s="29">
        <f t="shared" si="8"/>
        <v>45000</v>
      </c>
      <c r="Q7" s="3">
        <f t="shared" si="9"/>
        <v>167750</v>
      </c>
      <c r="R7" s="3">
        <f t="shared" si="10"/>
        <v>-150000</v>
      </c>
      <c r="S7" s="3">
        <f t="shared" si="11"/>
        <v>-32250</v>
      </c>
      <c r="T7" t="s">
        <v>15</v>
      </c>
    </row>
    <row r="8" spans="1:20" s="27" customFormat="1" x14ac:dyDescent="0.25">
      <c r="A8" t="s">
        <v>56</v>
      </c>
      <c r="B8" s="4">
        <f t="shared" si="12"/>
        <v>200000</v>
      </c>
      <c r="C8" s="4">
        <f t="shared" si="0"/>
        <v>167750</v>
      </c>
      <c r="D8" s="3">
        <f t="shared" si="1"/>
        <v>15474.999999999971</v>
      </c>
      <c r="E8" s="3">
        <v>5000</v>
      </c>
      <c r="F8" s="3">
        <f t="shared" si="13"/>
        <v>15000</v>
      </c>
      <c r="G8" s="10">
        <v>1</v>
      </c>
      <c r="H8" s="28">
        <f t="shared" si="2"/>
        <v>50000</v>
      </c>
      <c r="I8" s="29">
        <v>5000</v>
      </c>
      <c r="J8" s="10">
        <v>1</v>
      </c>
      <c r="K8" s="29">
        <f t="shared" si="3"/>
        <v>50000</v>
      </c>
      <c r="L8" s="29">
        <f t="shared" si="4"/>
        <v>50000</v>
      </c>
      <c r="M8" s="29">
        <f t="shared" si="5"/>
        <v>57750</v>
      </c>
      <c r="N8" s="26">
        <f t="shared" ref="N8:N20" si="14">MAX(1.1*I4,0.9*I4)+MAX(1.1*I5,0.9*I5)+MAX(1.1*I6,0.9*I6)+MAX(1.1*I7,0.9*I7)+MAX(1.1*I8,0.9*I8)</f>
        <v>27500</v>
      </c>
      <c r="O8" s="29">
        <f t="shared" si="7"/>
        <v>45000</v>
      </c>
      <c r="P8" s="29">
        <f t="shared" si="8"/>
        <v>45000</v>
      </c>
      <c r="Q8" s="3">
        <f t="shared" si="9"/>
        <v>167750</v>
      </c>
      <c r="R8" s="3">
        <f t="shared" si="10"/>
        <v>-150000</v>
      </c>
      <c r="S8" s="3">
        <f t="shared" si="11"/>
        <v>-32250</v>
      </c>
      <c r="T8" t="s">
        <v>15</v>
      </c>
    </row>
    <row r="9" spans="1:20" s="27" customFormat="1" x14ac:dyDescent="0.25">
      <c r="A9" t="s">
        <v>57</v>
      </c>
      <c r="B9" s="4">
        <f t="shared" si="12"/>
        <v>200000</v>
      </c>
      <c r="C9" s="4">
        <f t="shared" si="0"/>
        <v>167750</v>
      </c>
      <c r="D9" s="3">
        <f t="shared" si="1"/>
        <v>15474.999999999971</v>
      </c>
      <c r="E9" s="3">
        <v>5000</v>
      </c>
      <c r="F9" s="3">
        <f t="shared" si="13"/>
        <v>15000</v>
      </c>
      <c r="G9" s="10">
        <v>1</v>
      </c>
      <c r="H9" s="28">
        <f t="shared" si="2"/>
        <v>50000</v>
      </c>
      <c r="I9" s="29">
        <v>5000</v>
      </c>
      <c r="J9" s="10">
        <v>1</v>
      </c>
      <c r="K9" s="29">
        <f t="shared" si="3"/>
        <v>50000</v>
      </c>
      <c r="L9" s="29">
        <f t="shared" si="4"/>
        <v>50000</v>
      </c>
      <c r="M9" s="29">
        <f t="shared" si="5"/>
        <v>57750</v>
      </c>
      <c r="N9" s="26">
        <f t="shared" si="14"/>
        <v>27500</v>
      </c>
      <c r="O9" s="29">
        <f t="shared" si="7"/>
        <v>45000</v>
      </c>
      <c r="P9" s="29">
        <f t="shared" si="8"/>
        <v>45000</v>
      </c>
      <c r="Q9" s="3">
        <f t="shared" si="9"/>
        <v>167750</v>
      </c>
      <c r="R9" s="3">
        <f t="shared" si="10"/>
        <v>-150000</v>
      </c>
      <c r="S9" s="3">
        <f t="shared" si="11"/>
        <v>-32250</v>
      </c>
      <c r="T9" t="s">
        <v>15</v>
      </c>
    </row>
    <row r="10" spans="1:20" s="27" customFormat="1" x14ac:dyDescent="0.25">
      <c r="A10" t="s">
        <v>58</v>
      </c>
      <c r="B10" s="4">
        <f t="shared" si="12"/>
        <v>200000</v>
      </c>
      <c r="C10" s="4">
        <f t="shared" si="0"/>
        <v>167750</v>
      </c>
      <c r="D10" s="3">
        <f t="shared" si="1"/>
        <v>15474.999999999971</v>
      </c>
      <c r="E10" s="3">
        <v>5000</v>
      </c>
      <c r="F10" s="3">
        <f t="shared" si="13"/>
        <v>15000</v>
      </c>
      <c r="G10" s="10">
        <v>1</v>
      </c>
      <c r="H10" s="28">
        <f t="shared" si="2"/>
        <v>50000</v>
      </c>
      <c r="I10" s="29">
        <v>5000</v>
      </c>
      <c r="J10" s="10">
        <v>1</v>
      </c>
      <c r="K10" s="29">
        <f t="shared" si="3"/>
        <v>50000</v>
      </c>
      <c r="L10" s="29">
        <f t="shared" si="4"/>
        <v>50000</v>
      </c>
      <c r="M10" s="3">
        <f t="shared" ref="M10:M22" si="15">1.5*(MAX(1.1*I4,0.9*I4)+MAX(1.1*I5,0.9*I5)+MAX(1.1*I6,0.9*I6)+MAX(1.1*I7,0.9*I7)+MAX(1.1*I8,0.9*I8)+MAX(1.1*I9,0.9*I9)+MAX(1.1*I10,0.9*I10))</f>
        <v>57750</v>
      </c>
      <c r="N10" s="26">
        <f t="shared" si="14"/>
        <v>27500</v>
      </c>
      <c r="O10" s="29">
        <f t="shared" si="7"/>
        <v>45000</v>
      </c>
      <c r="P10" s="29">
        <f t="shared" si="8"/>
        <v>45000</v>
      </c>
      <c r="Q10" s="3">
        <f t="shared" si="9"/>
        <v>167750</v>
      </c>
      <c r="R10" s="3">
        <f t="shared" si="10"/>
        <v>-150000</v>
      </c>
      <c r="S10" s="3">
        <f t="shared" si="11"/>
        <v>-32250</v>
      </c>
      <c r="T10" t="s">
        <v>15</v>
      </c>
    </row>
    <row r="11" spans="1:20" s="27" customFormat="1" x14ac:dyDescent="0.25">
      <c r="A11" t="s">
        <v>59</v>
      </c>
      <c r="B11" s="4">
        <f t="shared" si="12"/>
        <v>200000</v>
      </c>
      <c r="C11" s="4">
        <f t="shared" si="0"/>
        <v>167750</v>
      </c>
      <c r="D11" s="3">
        <f t="shared" si="1"/>
        <v>15474.999999999971</v>
      </c>
      <c r="E11" s="3">
        <v>5000</v>
      </c>
      <c r="F11" s="3">
        <f t="shared" si="13"/>
        <v>15000</v>
      </c>
      <c r="G11" s="10">
        <v>1</v>
      </c>
      <c r="H11" s="28">
        <f t="shared" si="2"/>
        <v>50000</v>
      </c>
      <c r="I11" s="29">
        <v>5000</v>
      </c>
      <c r="J11" s="10">
        <v>1</v>
      </c>
      <c r="K11" s="29">
        <f t="shared" si="3"/>
        <v>50000</v>
      </c>
      <c r="L11" s="29">
        <f t="shared" si="4"/>
        <v>50000</v>
      </c>
      <c r="M11" s="3">
        <f t="shared" si="15"/>
        <v>57750</v>
      </c>
      <c r="N11" s="26">
        <f t="shared" si="14"/>
        <v>27500</v>
      </c>
      <c r="O11" s="29">
        <f t="shared" si="7"/>
        <v>45000</v>
      </c>
      <c r="P11" s="29">
        <f t="shared" si="8"/>
        <v>45000</v>
      </c>
      <c r="Q11" s="3">
        <f t="shared" si="9"/>
        <v>167750</v>
      </c>
      <c r="R11" s="3">
        <f t="shared" si="10"/>
        <v>-150000</v>
      </c>
      <c r="S11" s="3">
        <f t="shared" si="11"/>
        <v>-32250</v>
      </c>
      <c r="T11" t="s">
        <v>15</v>
      </c>
    </row>
    <row r="12" spans="1:20" s="27" customFormat="1" x14ac:dyDescent="0.25">
      <c r="A12" t="s">
        <v>60</v>
      </c>
      <c r="B12" s="4">
        <f t="shared" si="12"/>
        <v>200000</v>
      </c>
      <c r="C12" s="4">
        <f t="shared" si="0"/>
        <v>167750</v>
      </c>
      <c r="D12" s="3">
        <f t="shared" si="1"/>
        <v>15474.999999999971</v>
      </c>
      <c r="E12" s="3">
        <v>5000</v>
      </c>
      <c r="F12" s="3">
        <f t="shared" si="13"/>
        <v>15000</v>
      </c>
      <c r="G12" s="10">
        <v>1</v>
      </c>
      <c r="H12" s="10">
        <f t="shared" ref="H12:H24" si="16">G12*$B$30*SUM(E4:E10)/7</f>
        <v>50000</v>
      </c>
      <c r="I12" s="29">
        <v>5000</v>
      </c>
      <c r="J12" s="10">
        <v>1</v>
      </c>
      <c r="K12" s="29">
        <f t="shared" si="3"/>
        <v>50000</v>
      </c>
      <c r="L12" s="29">
        <f t="shared" si="4"/>
        <v>50000</v>
      </c>
      <c r="M12" s="3">
        <f t="shared" si="15"/>
        <v>57750</v>
      </c>
      <c r="N12" s="26">
        <f t="shared" si="14"/>
        <v>27500</v>
      </c>
      <c r="O12" s="29">
        <f t="shared" si="7"/>
        <v>45000</v>
      </c>
      <c r="P12" s="29">
        <f t="shared" si="8"/>
        <v>45000</v>
      </c>
      <c r="Q12" s="3">
        <f t="shared" si="9"/>
        <v>167750</v>
      </c>
      <c r="R12" s="3">
        <f t="shared" si="10"/>
        <v>-150000</v>
      </c>
      <c r="S12" s="3">
        <f t="shared" si="11"/>
        <v>-32250</v>
      </c>
      <c r="T12" t="s">
        <v>15</v>
      </c>
    </row>
    <row r="13" spans="1:20" s="27" customFormat="1" x14ac:dyDescent="0.25">
      <c r="A13" t="s">
        <v>61</v>
      </c>
      <c r="B13" s="4">
        <f t="shared" si="12"/>
        <v>200000</v>
      </c>
      <c r="C13" s="4">
        <f t="shared" si="0"/>
        <v>167750</v>
      </c>
      <c r="D13" s="3">
        <f t="shared" si="1"/>
        <v>15474.999999999971</v>
      </c>
      <c r="E13" s="3">
        <v>5000</v>
      </c>
      <c r="F13" s="3">
        <f t="shared" si="13"/>
        <v>15000</v>
      </c>
      <c r="G13" s="10">
        <v>1</v>
      </c>
      <c r="H13" s="10">
        <f t="shared" si="16"/>
        <v>50000</v>
      </c>
      <c r="I13" s="29">
        <v>5000</v>
      </c>
      <c r="J13" s="10">
        <v>1</v>
      </c>
      <c r="K13" s="29">
        <f t="shared" si="3"/>
        <v>50000</v>
      </c>
      <c r="L13" s="29">
        <f t="shared" si="4"/>
        <v>50000</v>
      </c>
      <c r="M13" s="3">
        <f t="shared" si="15"/>
        <v>57750</v>
      </c>
      <c r="N13" s="26">
        <f t="shared" si="14"/>
        <v>27500</v>
      </c>
      <c r="O13" s="29">
        <f t="shared" si="7"/>
        <v>45000</v>
      </c>
      <c r="P13" s="29">
        <f t="shared" si="8"/>
        <v>45000</v>
      </c>
      <c r="Q13" s="3">
        <f t="shared" si="9"/>
        <v>167750</v>
      </c>
      <c r="R13" s="3">
        <f t="shared" si="10"/>
        <v>-150000</v>
      </c>
      <c r="S13" s="3">
        <f t="shared" si="11"/>
        <v>-32250</v>
      </c>
      <c r="T13" t="s">
        <v>15</v>
      </c>
    </row>
    <row r="14" spans="1:20" s="27" customFormat="1" x14ac:dyDescent="0.25">
      <c r="A14" t="s">
        <v>62</v>
      </c>
      <c r="B14" s="4">
        <f t="shared" si="12"/>
        <v>200000</v>
      </c>
      <c r="C14" s="4">
        <f t="shared" si="0"/>
        <v>167750</v>
      </c>
      <c r="D14" s="3">
        <f t="shared" si="1"/>
        <v>15474.999999999971</v>
      </c>
      <c r="E14" s="3">
        <v>5000</v>
      </c>
      <c r="F14" s="3">
        <f t="shared" si="13"/>
        <v>15000</v>
      </c>
      <c r="G14" s="10">
        <v>1</v>
      </c>
      <c r="H14" s="10">
        <f t="shared" si="16"/>
        <v>50000</v>
      </c>
      <c r="I14" s="29">
        <v>5000</v>
      </c>
      <c r="J14" s="10">
        <v>1</v>
      </c>
      <c r="K14" s="29">
        <f t="shared" si="3"/>
        <v>50000</v>
      </c>
      <c r="L14" s="29">
        <f t="shared" si="4"/>
        <v>50000</v>
      </c>
      <c r="M14" s="3">
        <f t="shared" si="15"/>
        <v>57750</v>
      </c>
      <c r="N14" s="26">
        <f t="shared" si="14"/>
        <v>27500</v>
      </c>
      <c r="O14" s="29">
        <f t="shared" si="7"/>
        <v>45000</v>
      </c>
      <c r="P14" s="29">
        <f t="shared" si="8"/>
        <v>45000</v>
      </c>
      <c r="Q14" s="3">
        <f t="shared" si="9"/>
        <v>167750</v>
      </c>
      <c r="R14" s="3">
        <f t="shared" si="10"/>
        <v>-150000</v>
      </c>
      <c r="S14" s="3">
        <f t="shared" si="11"/>
        <v>-32250</v>
      </c>
      <c r="T14" t="s">
        <v>15</v>
      </c>
    </row>
    <row r="15" spans="1:20" s="27" customFormat="1" x14ac:dyDescent="0.25">
      <c r="A15" t="s">
        <v>63</v>
      </c>
      <c r="B15" s="4">
        <f t="shared" si="12"/>
        <v>200000</v>
      </c>
      <c r="C15" s="4">
        <f t="shared" si="0"/>
        <v>167750</v>
      </c>
      <c r="D15" s="3">
        <f t="shared" si="1"/>
        <v>15474.999999999971</v>
      </c>
      <c r="E15" s="3">
        <v>5000</v>
      </c>
      <c r="F15" s="3">
        <f t="shared" si="13"/>
        <v>15000</v>
      </c>
      <c r="G15" s="10">
        <v>1</v>
      </c>
      <c r="H15" s="10">
        <f t="shared" si="16"/>
        <v>50000</v>
      </c>
      <c r="I15" s="29">
        <v>5000</v>
      </c>
      <c r="J15" s="10">
        <v>1</v>
      </c>
      <c r="K15" s="29">
        <f t="shared" si="3"/>
        <v>50000</v>
      </c>
      <c r="L15" s="29">
        <f t="shared" si="4"/>
        <v>50000</v>
      </c>
      <c r="M15" s="3">
        <f t="shared" si="15"/>
        <v>57750</v>
      </c>
      <c r="N15" s="26">
        <f t="shared" si="14"/>
        <v>27500</v>
      </c>
      <c r="O15" s="29">
        <f t="shared" si="7"/>
        <v>45000</v>
      </c>
      <c r="P15" s="29">
        <f t="shared" si="8"/>
        <v>45000</v>
      </c>
      <c r="Q15" s="3">
        <f t="shared" si="9"/>
        <v>167750</v>
      </c>
      <c r="R15" s="3">
        <f t="shared" si="10"/>
        <v>-150000</v>
      </c>
      <c r="S15" s="3">
        <f t="shared" si="11"/>
        <v>-32250</v>
      </c>
      <c r="T15" t="s">
        <v>15</v>
      </c>
    </row>
    <row r="16" spans="1:20" s="27" customFormat="1" x14ac:dyDescent="0.25">
      <c r="A16" t="s">
        <v>64</v>
      </c>
      <c r="B16" s="4">
        <f t="shared" si="12"/>
        <v>200000</v>
      </c>
      <c r="C16" s="4">
        <f t="shared" si="0"/>
        <v>167750</v>
      </c>
      <c r="D16" s="3">
        <f t="shared" si="1"/>
        <v>15474.999999999971</v>
      </c>
      <c r="E16" s="3">
        <v>5000</v>
      </c>
      <c r="F16" s="3">
        <f t="shared" si="13"/>
        <v>15000</v>
      </c>
      <c r="G16" s="10">
        <v>1</v>
      </c>
      <c r="H16" s="10">
        <f t="shared" si="16"/>
        <v>50000</v>
      </c>
      <c r="I16" s="29">
        <v>5000</v>
      </c>
      <c r="J16" s="10">
        <v>1</v>
      </c>
      <c r="K16" s="29">
        <f t="shared" si="3"/>
        <v>50000</v>
      </c>
      <c r="L16" s="29">
        <f t="shared" si="4"/>
        <v>50000</v>
      </c>
      <c r="M16" s="3">
        <f t="shared" si="15"/>
        <v>57750</v>
      </c>
      <c r="N16" s="26">
        <f t="shared" si="14"/>
        <v>27500</v>
      </c>
      <c r="O16" s="29">
        <f t="shared" si="7"/>
        <v>45000</v>
      </c>
      <c r="P16" s="29">
        <f t="shared" si="8"/>
        <v>45000</v>
      </c>
      <c r="Q16" s="3">
        <f t="shared" si="9"/>
        <v>167750</v>
      </c>
      <c r="R16" s="3">
        <f t="shared" si="10"/>
        <v>-150000</v>
      </c>
      <c r="S16" s="3">
        <f t="shared" si="11"/>
        <v>-32250</v>
      </c>
      <c r="T16" t="s">
        <v>15</v>
      </c>
    </row>
    <row r="17" spans="1:20" s="1" customFormat="1" x14ac:dyDescent="0.25">
      <c r="A17" t="s">
        <v>16</v>
      </c>
      <c r="B17" s="4">
        <f t="shared" si="12"/>
        <v>200000</v>
      </c>
      <c r="C17" s="4">
        <f>Q17</f>
        <v>167750</v>
      </c>
      <c r="D17" s="3">
        <f t="shared" ref="D17:D23" si="17">B17-C17*1.1</f>
        <v>15474.999999999971</v>
      </c>
      <c r="E17" s="3">
        <v>5000</v>
      </c>
      <c r="F17" s="3">
        <f t="shared" si="13"/>
        <v>15000</v>
      </c>
      <c r="G17" s="10">
        <v>1</v>
      </c>
      <c r="H17" s="10">
        <f t="shared" si="16"/>
        <v>50000</v>
      </c>
      <c r="I17" s="29">
        <v>5000</v>
      </c>
      <c r="J17" s="10">
        <v>1</v>
      </c>
      <c r="K17" s="29">
        <f t="shared" ref="K17:K23" si="18">$B$30*$I$17</f>
        <v>50000</v>
      </c>
      <c r="L17" s="29">
        <f>J17*K17</f>
        <v>50000</v>
      </c>
      <c r="M17" s="3">
        <f t="shared" si="15"/>
        <v>57750</v>
      </c>
      <c r="N17" s="26">
        <f t="shared" si="14"/>
        <v>27500</v>
      </c>
      <c r="O17" s="29">
        <f t="shared" si="7"/>
        <v>45000</v>
      </c>
      <c r="P17" s="29">
        <f>O17</f>
        <v>45000</v>
      </c>
      <c r="Q17" s="3">
        <f t="shared" ref="Q17:Q27" si="19">MAX(L17,M17)+H17+MAX(N17,P17)+F17</f>
        <v>167750</v>
      </c>
      <c r="R17" s="3">
        <f>-(B17-F17-I17*7)</f>
        <v>-150000</v>
      </c>
      <c r="S17" s="3">
        <f t="shared" ref="S17:S27" si="20">-(B17-Q17)</f>
        <v>-32250</v>
      </c>
      <c r="T17" t="s">
        <v>15</v>
      </c>
    </row>
    <row r="18" spans="1:20" s="1" customFormat="1" x14ac:dyDescent="0.25">
      <c r="A18" t="s">
        <v>17</v>
      </c>
      <c r="B18" s="4">
        <f t="shared" si="12"/>
        <v>200000</v>
      </c>
      <c r="C18" s="4">
        <f>Q17</f>
        <v>167750</v>
      </c>
      <c r="D18" s="3">
        <f t="shared" si="17"/>
        <v>15474.999999999971</v>
      </c>
      <c r="E18" s="3">
        <v>5000</v>
      </c>
      <c r="F18" s="3">
        <f t="shared" si="13"/>
        <v>15000</v>
      </c>
      <c r="G18" s="10">
        <v>1</v>
      </c>
      <c r="H18" s="10">
        <f t="shared" si="16"/>
        <v>50000</v>
      </c>
      <c r="I18" s="3">
        <v>5000</v>
      </c>
      <c r="J18" s="10">
        <v>1</v>
      </c>
      <c r="K18" s="29">
        <f t="shared" si="18"/>
        <v>50000</v>
      </c>
      <c r="L18" s="29">
        <f t="shared" ref="L18:L23" si="21">J18*K18</f>
        <v>50000</v>
      </c>
      <c r="M18" s="3">
        <f t="shared" si="15"/>
        <v>57750</v>
      </c>
      <c r="N18" s="26">
        <f t="shared" si="14"/>
        <v>27500</v>
      </c>
      <c r="O18" s="29">
        <f t="shared" si="7"/>
        <v>45000</v>
      </c>
      <c r="P18" s="29">
        <f t="shared" ref="P18:P23" si="22">O18</f>
        <v>45000</v>
      </c>
      <c r="Q18" s="3">
        <f t="shared" si="19"/>
        <v>167750</v>
      </c>
      <c r="R18" s="3">
        <f t="shared" ref="R18:R22" si="23">-(B18-F18-I18*7)</f>
        <v>-150000</v>
      </c>
      <c r="S18" s="3">
        <f t="shared" si="20"/>
        <v>-32250</v>
      </c>
      <c r="T18" t="s">
        <v>15</v>
      </c>
    </row>
    <row r="19" spans="1:20" s="1" customFormat="1" x14ac:dyDescent="0.25">
      <c r="A19" t="s">
        <v>18</v>
      </c>
      <c r="B19" s="4">
        <f t="shared" ref="B19:B27" si="24">B18</f>
        <v>200000</v>
      </c>
      <c r="C19" s="4">
        <f t="shared" ref="C19:C27" si="25">Q18</f>
        <v>167750</v>
      </c>
      <c r="D19" s="3">
        <f t="shared" si="17"/>
        <v>15474.999999999971</v>
      </c>
      <c r="E19" s="3">
        <v>5000</v>
      </c>
      <c r="F19" s="3">
        <f t="shared" si="13"/>
        <v>15000</v>
      </c>
      <c r="G19" s="10">
        <v>1</v>
      </c>
      <c r="H19" s="10">
        <f t="shared" si="16"/>
        <v>50000</v>
      </c>
      <c r="I19" s="3">
        <v>5000</v>
      </c>
      <c r="J19" s="10">
        <v>1</v>
      </c>
      <c r="K19" s="29">
        <f t="shared" si="18"/>
        <v>50000</v>
      </c>
      <c r="L19" s="29">
        <f t="shared" si="21"/>
        <v>50000</v>
      </c>
      <c r="M19" s="3">
        <f t="shared" si="15"/>
        <v>57750</v>
      </c>
      <c r="N19" s="26">
        <f t="shared" si="14"/>
        <v>27500</v>
      </c>
      <c r="O19" s="29">
        <f t="shared" si="7"/>
        <v>45000</v>
      </c>
      <c r="P19" s="29">
        <f t="shared" si="22"/>
        <v>45000</v>
      </c>
      <c r="Q19" s="3">
        <f t="shared" si="19"/>
        <v>167750</v>
      </c>
      <c r="R19" s="3">
        <f t="shared" si="23"/>
        <v>-150000</v>
      </c>
      <c r="S19" s="3">
        <f t="shared" si="20"/>
        <v>-32250</v>
      </c>
      <c r="T19" t="s">
        <v>15</v>
      </c>
    </row>
    <row r="20" spans="1:20" s="1" customFormat="1" x14ac:dyDescent="0.25">
      <c r="A20" t="s">
        <v>19</v>
      </c>
      <c r="B20" s="4">
        <f t="shared" si="24"/>
        <v>200000</v>
      </c>
      <c r="C20" s="4">
        <f t="shared" si="25"/>
        <v>167750</v>
      </c>
      <c r="D20" s="3">
        <f t="shared" si="17"/>
        <v>15474.999999999971</v>
      </c>
      <c r="E20" s="3">
        <v>5000</v>
      </c>
      <c r="F20" s="3">
        <f t="shared" si="13"/>
        <v>15000</v>
      </c>
      <c r="G20" s="10">
        <v>1</v>
      </c>
      <c r="H20" s="10">
        <f t="shared" si="16"/>
        <v>50000</v>
      </c>
      <c r="I20" s="3">
        <v>5000</v>
      </c>
      <c r="J20" s="10">
        <v>1</v>
      </c>
      <c r="K20" s="29">
        <f t="shared" si="18"/>
        <v>50000</v>
      </c>
      <c r="L20" s="29">
        <f t="shared" si="21"/>
        <v>50000</v>
      </c>
      <c r="M20" s="3">
        <f t="shared" si="15"/>
        <v>57750</v>
      </c>
      <c r="N20" s="26">
        <f t="shared" si="14"/>
        <v>27500</v>
      </c>
      <c r="O20" s="29">
        <f t="shared" si="7"/>
        <v>45000</v>
      </c>
      <c r="P20" s="29">
        <f t="shared" si="22"/>
        <v>45000</v>
      </c>
      <c r="Q20" s="3">
        <f t="shared" si="19"/>
        <v>167750</v>
      </c>
      <c r="R20" s="3">
        <f t="shared" si="23"/>
        <v>-150000</v>
      </c>
      <c r="S20" s="3">
        <f t="shared" si="20"/>
        <v>-32250</v>
      </c>
      <c r="T20" t="s">
        <v>15</v>
      </c>
    </row>
    <row r="21" spans="1:20" s="1" customFormat="1" x14ac:dyDescent="0.25">
      <c r="A21" t="s">
        <v>20</v>
      </c>
      <c r="B21" s="4">
        <f t="shared" si="24"/>
        <v>200000</v>
      </c>
      <c r="C21" s="4">
        <f t="shared" si="25"/>
        <v>167750</v>
      </c>
      <c r="D21" s="3">
        <f t="shared" si="17"/>
        <v>15474.999999999971</v>
      </c>
      <c r="E21" s="3">
        <v>5000</v>
      </c>
      <c r="F21" s="3">
        <f t="shared" si="13"/>
        <v>15000</v>
      </c>
      <c r="G21" s="10">
        <v>1</v>
      </c>
      <c r="H21" s="10">
        <f t="shared" si="16"/>
        <v>50000</v>
      </c>
      <c r="I21" s="3">
        <v>5000</v>
      </c>
      <c r="J21" s="10">
        <v>1</v>
      </c>
      <c r="K21" s="29">
        <f t="shared" si="18"/>
        <v>50000</v>
      </c>
      <c r="L21" s="29">
        <f t="shared" si="21"/>
        <v>50000</v>
      </c>
      <c r="M21" s="3">
        <f t="shared" si="15"/>
        <v>57750</v>
      </c>
      <c r="N21" s="26">
        <f t="shared" ref="N21:N22" si="26">MAX(1.1*I17,0.9*I17)+MAX(1.1*I18,0.9*I18)+MAX(1.1*I19,0.9*I19)+MAX(1.1*I20,0.9*I20)+MAX(1.1*I21,0.9*I21)</f>
        <v>27500</v>
      </c>
      <c r="O21" s="29">
        <f t="shared" si="7"/>
        <v>45000</v>
      </c>
      <c r="P21" s="29">
        <f t="shared" si="22"/>
        <v>45000</v>
      </c>
      <c r="Q21" s="3">
        <f t="shared" si="19"/>
        <v>167750</v>
      </c>
      <c r="R21" s="3">
        <f t="shared" si="23"/>
        <v>-150000</v>
      </c>
      <c r="S21" s="3">
        <f t="shared" si="20"/>
        <v>-32250</v>
      </c>
      <c r="T21" t="s">
        <v>15</v>
      </c>
    </row>
    <row r="22" spans="1:20" s="1" customFormat="1" x14ac:dyDescent="0.25">
      <c r="A22" t="s">
        <v>21</v>
      </c>
      <c r="B22" s="4">
        <f t="shared" si="24"/>
        <v>200000</v>
      </c>
      <c r="C22" s="4">
        <f t="shared" si="25"/>
        <v>167750</v>
      </c>
      <c r="D22" s="3">
        <f t="shared" si="17"/>
        <v>15474.999999999971</v>
      </c>
      <c r="E22" s="3">
        <v>5000</v>
      </c>
      <c r="F22" s="3">
        <f t="shared" si="13"/>
        <v>15000</v>
      </c>
      <c r="G22" s="10">
        <v>1</v>
      </c>
      <c r="H22" s="10">
        <f t="shared" si="16"/>
        <v>50000</v>
      </c>
      <c r="I22" s="3">
        <v>5000</v>
      </c>
      <c r="J22" s="10">
        <v>1</v>
      </c>
      <c r="K22" s="29">
        <f t="shared" si="18"/>
        <v>50000</v>
      </c>
      <c r="L22" s="29">
        <f t="shared" si="21"/>
        <v>50000</v>
      </c>
      <c r="M22" s="3">
        <f t="shared" si="15"/>
        <v>57750</v>
      </c>
      <c r="N22" s="26">
        <f t="shared" si="26"/>
        <v>27500</v>
      </c>
      <c r="O22" s="3">
        <f>$B$31*SUM(I4:I17)/14</f>
        <v>45000</v>
      </c>
      <c r="P22" s="29">
        <f t="shared" si="22"/>
        <v>45000</v>
      </c>
      <c r="Q22" s="3">
        <f t="shared" si="19"/>
        <v>167750</v>
      </c>
      <c r="R22" s="3">
        <f t="shared" si="23"/>
        <v>-150000</v>
      </c>
      <c r="S22" s="3">
        <f t="shared" si="20"/>
        <v>-32250</v>
      </c>
      <c r="T22" t="s">
        <v>15</v>
      </c>
    </row>
    <row r="23" spans="1:20" s="1" customFormat="1" x14ac:dyDescent="0.25">
      <c r="A23" t="s">
        <v>22</v>
      </c>
      <c r="B23" s="4">
        <f t="shared" si="24"/>
        <v>200000</v>
      </c>
      <c r="C23" s="4">
        <f t="shared" si="25"/>
        <v>167750</v>
      </c>
      <c r="D23" s="3">
        <f t="shared" si="17"/>
        <v>15474.999999999971</v>
      </c>
      <c r="E23" s="3">
        <v>5000</v>
      </c>
      <c r="F23" s="3">
        <f t="shared" ref="F23:F24" si="27">SUM(E21:E23)</f>
        <v>15000</v>
      </c>
      <c r="G23" s="10">
        <v>1</v>
      </c>
      <c r="H23" s="10">
        <f t="shared" si="16"/>
        <v>50000</v>
      </c>
      <c r="I23" s="3">
        <v>5000</v>
      </c>
      <c r="J23" s="10">
        <v>1</v>
      </c>
      <c r="K23" s="29">
        <f t="shared" si="18"/>
        <v>50000</v>
      </c>
      <c r="L23" s="29">
        <f t="shared" si="21"/>
        <v>50000</v>
      </c>
      <c r="M23" s="3">
        <f>1.5*(MAX(1.1*I17,0.9*I17)+MAX(1.1*I18,0.9*I18)+MAX(1.1*I19,0.9*I19)+MAX(1.1*I20,0.9*I20)+MAX(1.1*I21,0.9*I21)+MAX(1.1*I22,0.9*I22)+MAX(1.1*I23,0.9*I23))</f>
        <v>57750</v>
      </c>
      <c r="N23" s="26">
        <f>MAX(1.1*I19,0.9*I19)+MAX(1.1*I20,0.9*I20)+MAX(1.1*I21,0.9*I21)+MAX(1.1*I22,0.9*I22)+MAX(1.1*I23,0.9*I23)</f>
        <v>27500</v>
      </c>
      <c r="O23" s="3">
        <f t="shared" ref="O23:O27" si="28">$B$31*SUM(I5:I18)/14</f>
        <v>45000</v>
      </c>
      <c r="P23" s="29">
        <f t="shared" si="22"/>
        <v>45000</v>
      </c>
      <c r="Q23" s="3">
        <f t="shared" si="19"/>
        <v>167750</v>
      </c>
      <c r="R23" s="3">
        <f>-(B23-F23-SUM(I17:I23))</f>
        <v>-150000</v>
      </c>
      <c r="S23" s="3">
        <f t="shared" si="20"/>
        <v>-32250</v>
      </c>
      <c r="T23" t="s">
        <v>15</v>
      </c>
    </row>
    <row r="24" spans="1:20" x14ac:dyDescent="0.25">
      <c r="A24" s="7" t="s">
        <v>0</v>
      </c>
      <c r="B24" s="23">
        <f t="shared" si="24"/>
        <v>200000</v>
      </c>
      <c r="C24" s="23">
        <f t="shared" si="25"/>
        <v>167750</v>
      </c>
      <c r="D24" s="24">
        <f>B24-C24*1.1</f>
        <v>15474.999999999971</v>
      </c>
      <c r="E24" s="24">
        <v>-5000</v>
      </c>
      <c r="F24" s="24">
        <f t="shared" si="27"/>
        <v>5000</v>
      </c>
      <c r="G24" s="25">
        <v>2</v>
      </c>
      <c r="H24" s="25">
        <f t="shared" si="16"/>
        <v>100000</v>
      </c>
      <c r="I24" s="24">
        <v>-5000</v>
      </c>
      <c r="J24" s="25">
        <v>2</v>
      </c>
      <c r="K24" s="24">
        <f>$B$30*SUM(E4:E17)/14</f>
        <v>50000</v>
      </c>
      <c r="L24" s="24">
        <f>J24*MAX(K4:K24)</f>
        <v>100000</v>
      </c>
      <c r="M24" s="24">
        <f t="shared" ref="M24:M27" si="29">1.5*(MAX(1.1*I18,0.9*I18)+MAX(1.1*I19,0.9*I19)+MAX(1.1*I20,0.9*I20)+MAX(1.1*I21,0.9*I21)+MAX(1.1*I22,0.9*I22)+MAX(1.1*I23,0.9*I23)+MAX(1.1*I24,0.9*I24))</f>
        <v>42750</v>
      </c>
      <c r="N24" s="24">
        <f>MAX(1.1*I20,0.9*I20)+MAX(1.1*I21,0.9*I21)+MAX(1.1*I22,0.9*I22)+MAX(1.1*I23,0.9*I23)+MAX(1.1*I24,0.9*I24)</f>
        <v>17500</v>
      </c>
      <c r="O24" s="24">
        <f t="shared" si="28"/>
        <v>45000</v>
      </c>
      <c r="P24" s="24">
        <f>MAX(O4:O24)</f>
        <v>45000</v>
      </c>
      <c r="Q24" s="24">
        <f t="shared" si="19"/>
        <v>250000</v>
      </c>
      <c r="R24" s="24">
        <f>-(B24-F24-SUM(I18:I24))</f>
        <v>-170000</v>
      </c>
      <c r="S24" s="24">
        <f t="shared" si="20"/>
        <v>50000</v>
      </c>
      <c r="T24" t="s">
        <v>49</v>
      </c>
    </row>
    <row r="25" spans="1:20" x14ac:dyDescent="0.25">
      <c r="A25" s="8" t="s">
        <v>1</v>
      </c>
      <c r="B25" s="4">
        <f t="shared" si="24"/>
        <v>200000</v>
      </c>
      <c r="C25" s="4">
        <f t="shared" si="25"/>
        <v>250000</v>
      </c>
      <c r="D25" s="3">
        <f t="shared" ref="D25:D27" si="30">B25-C25*1.1</f>
        <v>-75000</v>
      </c>
      <c r="E25" s="3">
        <v>0</v>
      </c>
      <c r="F25" s="3">
        <f>F24+E25+I18</f>
        <v>10000</v>
      </c>
      <c r="G25" s="10">
        <v>2</v>
      </c>
      <c r="H25" s="10">
        <f>G25*$B$30*SUM(E17:E23)/7</f>
        <v>100000</v>
      </c>
      <c r="I25" s="3">
        <v>-5000</v>
      </c>
      <c r="J25" s="10">
        <v>2</v>
      </c>
      <c r="K25" s="26">
        <f t="shared" ref="K25:K27" si="31">$B$30*SUM(E5:E18)/14</f>
        <v>50000</v>
      </c>
      <c r="L25" s="26">
        <f t="shared" ref="L25:L27" si="32">J25*MAX(K5:K25)</f>
        <v>100000</v>
      </c>
      <c r="M25" s="3">
        <f t="shared" si="29"/>
        <v>27750</v>
      </c>
      <c r="N25" s="26">
        <f t="shared" ref="N25:N27" si="33">MAX(1.1*I21,0.9*I21)+MAX(1.1*I22,0.9*I22)+MAX(1.1*I23,0.9*I23)+MAX(1.1*I24,0.9*I24)+MAX(1.1*I25,0.9*I25)</f>
        <v>7500</v>
      </c>
      <c r="O25" s="3">
        <f t="shared" si="28"/>
        <v>45000</v>
      </c>
      <c r="P25" s="26">
        <f t="shared" ref="P25:P27" si="34">MAX(O5:O25)</f>
        <v>45000</v>
      </c>
      <c r="Q25" s="3">
        <f t="shared" si="19"/>
        <v>255000</v>
      </c>
      <c r="R25" s="3">
        <f>-(B25-F25-SUM(I19:I25))</f>
        <v>-175000</v>
      </c>
      <c r="S25" s="3">
        <f t="shared" si="20"/>
        <v>55000</v>
      </c>
      <c r="T25" t="s">
        <v>5</v>
      </c>
    </row>
    <row r="26" spans="1:20" x14ac:dyDescent="0.25">
      <c r="A26" s="8" t="s">
        <v>2</v>
      </c>
      <c r="B26" s="4">
        <f t="shared" si="24"/>
        <v>200000</v>
      </c>
      <c r="C26" s="4">
        <f t="shared" si="25"/>
        <v>255000</v>
      </c>
      <c r="D26" s="3">
        <f t="shared" si="30"/>
        <v>-80500</v>
      </c>
      <c r="E26" s="3">
        <v>0</v>
      </c>
      <c r="F26" s="3">
        <f t="shared" ref="F26:F27" si="35">F25+E26+I19</f>
        <v>15000</v>
      </c>
      <c r="G26" s="10">
        <v>2</v>
      </c>
      <c r="H26" s="10">
        <f t="shared" ref="H26:H27" si="36">G26*$B$30*SUM(E18:E24)/7</f>
        <v>71428.571428571435</v>
      </c>
      <c r="I26" s="3">
        <v>-5000</v>
      </c>
      <c r="J26" s="10">
        <v>2</v>
      </c>
      <c r="K26" s="26">
        <f t="shared" si="31"/>
        <v>50000</v>
      </c>
      <c r="L26" s="26">
        <f t="shared" si="32"/>
        <v>100000</v>
      </c>
      <c r="M26" s="3">
        <f t="shared" si="29"/>
        <v>12750</v>
      </c>
      <c r="N26" s="26">
        <f t="shared" si="33"/>
        <v>-2500</v>
      </c>
      <c r="O26" s="3">
        <f t="shared" si="28"/>
        <v>45000</v>
      </c>
      <c r="P26" s="26">
        <f t="shared" si="34"/>
        <v>45000</v>
      </c>
      <c r="Q26" s="3">
        <f t="shared" si="19"/>
        <v>231428.57142857142</v>
      </c>
      <c r="R26" s="3">
        <f>-(B26-F26-SUM(I20:I26))</f>
        <v>-180000</v>
      </c>
      <c r="S26" s="3">
        <f t="shared" si="20"/>
        <v>31428.57142857142</v>
      </c>
      <c r="T26" t="s">
        <v>4</v>
      </c>
    </row>
    <row r="27" spans="1:20" x14ac:dyDescent="0.25">
      <c r="A27" s="8" t="s">
        <v>3</v>
      </c>
      <c r="B27" s="4">
        <f t="shared" si="24"/>
        <v>200000</v>
      </c>
      <c r="C27" s="4">
        <f t="shared" si="25"/>
        <v>231428.57142857142</v>
      </c>
      <c r="D27" s="3">
        <f t="shared" si="30"/>
        <v>-54571.42857142858</v>
      </c>
      <c r="E27" s="3">
        <v>0</v>
      </c>
      <c r="F27" s="3">
        <f t="shared" si="35"/>
        <v>20000</v>
      </c>
      <c r="G27" s="10">
        <v>2</v>
      </c>
      <c r="H27" s="10">
        <f t="shared" si="36"/>
        <v>57142.857142857145</v>
      </c>
      <c r="I27" s="3">
        <v>0</v>
      </c>
      <c r="J27" s="10">
        <v>2</v>
      </c>
      <c r="K27" s="26">
        <f t="shared" si="31"/>
        <v>50000</v>
      </c>
      <c r="L27" s="26">
        <f t="shared" si="32"/>
        <v>100000</v>
      </c>
      <c r="M27" s="3">
        <f t="shared" si="29"/>
        <v>4500</v>
      </c>
      <c r="N27" s="26">
        <f t="shared" si="33"/>
        <v>-8000</v>
      </c>
      <c r="O27" s="3">
        <f t="shared" si="28"/>
        <v>45000</v>
      </c>
      <c r="P27" s="26">
        <f t="shared" si="34"/>
        <v>45000</v>
      </c>
      <c r="Q27" s="3">
        <f t="shared" si="19"/>
        <v>222142.85714285716</v>
      </c>
      <c r="R27" s="3">
        <f>-(B27-F27-SUM(I21:I27))</f>
        <v>-180000</v>
      </c>
      <c r="S27" s="3">
        <f t="shared" si="20"/>
        <v>22142.857142857159</v>
      </c>
      <c r="T27" t="s">
        <v>10</v>
      </c>
    </row>
    <row r="28" spans="1:20" x14ac:dyDescent="0.25">
      <c r="A28" s="11"/>
      <c r="B28" s="4"/>
      <c r="C28" s="4"/>
      <c r="D28" s="3"/>
      <c r="E28" s="3"/>
      <c r="F28" s="3"/>
      <c r="G28" s="10"/>
      <c r="H28" s="10"/>
      <c r="I28" s="3"/>
      <c r="J28" s="10"/>
      <c r="K28" s="3"/>
      <c r="L28" s="3"/>
      <c r="M28" s="3"/>
      <c r="N28" s="3"/>
      <c r="O28" s="3"/>
      <c r="P28" s="3"/>
      <c r="Q28" s="3"/>
      <c r="R28" s="3"/>
      <c r="S28" s="3"/>
    </row>
    <row r="29" spans="1:20" x14ac:dyDescent="0.25">
      <c r="A29" s="20"/>
      <c r="B29" s="21" t="s">
        <v>50</v>
      </c>
      <c r="C29" s="21" t="s">
        <v>71</v>
      </c>
      <c r="D29" s="3"/>
      <c r="E29" s="3"/>
      <c r="F29" s="3"/>
      <c r="G29" s="10"/>
      <c r="H29" s="10"/>
      <c r="I29" s="3"/>
      <c r="J29" s="3"/>
      <c r="K29" s="3"/>
      <c r="L29" s="3"/>
      <c r="M29" s="3"/>
      <c r="N29" s="3"/>
      <c r="O29" s="3"/>
      <c r="P29" s="3"/>
      <c r="Q29" s="3"/>
      <c r="R29" s="3"/>
      <c r="S29" s="3"/>
    </row>
    <row r="30" spans="1:20" x14ac:dyDescent="0.25">
      <c r="A30" s="20" t="s">
        <v>33</v>
      </c>
      <c r="B30" s="22">
        <v>10</v>
      </c>
      <c r="C30" s="22">
        <v>3</v>
      </c>
      <c r="D30" s="3"/>
      <c r="E30" s="3"/>
      <c r="F30" s="3"/>
      <c r="G30" s="10"/>
      <c r="H30" s="10"/>
      <c r="I30" s="3"/>
      <c r="J30" s="3"/>
      <c r="K30" s="3"/>
      <c r="L30" s="3"/>
      <c r="M30" s="3"/>
      <c r="N30" s="3"/>
      <c r="O30" s="3"/>
      <c r="P30" s="3"/>
      <c r="Q30" s="3"/>
      <c r="R30" s="3"/>
      <c r="S30" s="3"/>
    </row>
    <row r="31" spans="1:20" x14ac:dyDescent="0.25">
      <c r="A31" s="20" t="s">
        <v>34</v>
      </c>
      <c r="B31" s="22">
        <v>9</v>
      </c>
      <c r="C31" s="22"/>
      <c r="D31" s="3"/>
      <c r="E31" s="3"/>
      <c r="F31" s="3"/>
      <c r="G31" s="10"/>
      <c r="H31" s="10"/>
      <c r="I31" s="3"/>
      <c r="J31" s="3"/>
      <c r="K31" s="3"/>
      <c r="L31" s="3"/>
      <c r="M31" s="3"/>
      <c r="N31" s="3"/>
      <c r="O31" s="3"/>
      <c r="P31" s="3"/>
      <c r="Q31" s="3"/>
      <c r="R31" s="3"/>
      <c r="S31" s="3"/>
    </row>
    <row r="33" spans="1:1" s="2" customFormat="1" x14ac:dyDescent="0.25">
      <c r="A33" s="2" t="s">
        <v>7</v>
      </c>
    </row>
    <row r="34" spans="1:1" s="2" customFormat="1" x14ac:dyDescent="0.25"/>
    <row r="35" spans="1:1" s="2" customFormat="1" x14ac:dyDescent="0.25">
      <c r="A35" s="2" t="s">
        <v>30</v>
      </c>
    </row>
    <row r="36" spans="1:1" s="2" customFormat="1" x14ac:dyDescent="0.25">
      <c r="A36" s="2" t="s">
        <v>31</v>
      </c>
    </row>
    <row r="38" spans="1:1" x14ac:dyDescent="0.25">
      <c r="A38" s="2" t="s">
        <v>68</v>
      </c>
    </row>
  </sheetData>
  <phoneticPr fontId="3" type="noConversion"/>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F63CF-44F8-4553-96B5-4EE2BEC56D73}">
  <dimension ref="A1:T38"/>
  <sheetViews>
    <sheetView workbookViewId="0">
      <selection activeCell="Q24" sqref="Q24"/>
    </sheetView>
  </sheetViews>
  <sheetFormatPr defaultRowHeight="15" x14ac:dyDescent="0.25"/>
  <cols>
    <col min="2" max="2" width="9.85546875" bestFit="1" customWidth="1"/>
    <col min="3" max="3" width="14.42578125" customWidth="1"/>
    <col min="4" max="5" width="13.85546875" customWidth="1"/>
    <col min="6" max="6" width="15" bestFit="1" customWidth="1"/>
    <col min="7" max="16" width="15" customWidth="1"/>
    <col min="17" max="18" width="12.85546875" customWidth="1"/>
    <col min="19" max="19" width="15.140625" bestFit="1" customWidth="1"/>
  </cols>
  <sheetData>
    <row r="1" spans="1:20" ht="18.75" x14ac:dyDescent="0.3">
      <c r="A1" s="9" t="s">
        <v>72</v>
      </c>
      <c r="B1" s="2"/>
      <c r="C1" s="2"/>
    </row>
    <row r="2" spans="1:20" s="1" customFormat="1" ht="30" x14ac:dyDescent="0.25">
      <c r="A2" s="5" t="s">
        <v>47</v>
      </c>
      <c r="B2" s="5" t="s">
        <v>8</v>
      </c>
      <c r="C2" s="5" t="s">
        <v>9</v>
      </c>
      <c r="D2" s="5" t="s">
        <v>6</v>
      </c>
      <c r="E2" s="12" t="s">
        <v>12</v>
      </c>
      <c r="F2" s="13" t="s">
        <v>26</v>
      </c>
      <c r="G2" s="13" t="s">
        <v>32</v>
      </c>
      <c r="H2" s="13" t="s">
        <v>44</v>
      </c>
      <c r="I2" s="15" t="s">
        <v>13</v>
      </c>
      <c r="J2" s="16" t="s">
        <v>36</v>
      </c>
      <c r="K2" s="16" t="s">
        <v>37</v>
      </c>
      <c r="L2" s="16" t="s">
        <v>38</v>
      </c>
      <c r="M2" s="16" t="s">
        <v>25</v>
      </c>
      <c r="N2" s="30" t="s">
        <v>24</v>
      </c>
      <c r="O2" s="30" t="s">
        <v>35</v>
      </c>
      <c r="P2" s="30" t="s">
        <v>40</v>
      </c>
      <c r="Q2" s="5" t="s">
        <v>46</v>
      </c>
      <c r="R2" s="6" t="s">
        <v>28</v>
      </c>
      <c r="S2" s="6" t="s">
        <v>29</v>
      </c>
    </row>
    <row r="3" spans="1:20" s="1" customFormat="1" ht="75" x14ac:dyDescent="0.25">
      <c r="A3" s="5"/>
      <c r="B3" s="5"/>
      <c r="C3" s="6" t="s">
        <v>14</v>
      </c>
      <c r="D3" s="5" t="s">
        <v>11</v>
      </c>
      <c r="E3" s="12" t="s">
        <v>51</v>
      </c>
      <c r="F3" s="14" t="s">
        <v>27</v>
      </c>
      <c r="G3" s="14"/>
      <c r="H3" s="14" t="s">
        <v>42</v>
      </c>
      <c r="I3" s="15" t="s">
        <v>23</v>
      </c>
      <c r="J3" s="16"/>
      <c r="K3" s="17" t="s">
        <v>43</v>
      </c>
      <c r="L3" s="17" t="s">
        <v>39</v>
      </c>
      <c r="M3" s="17" t="s">
        <v>54</v>
      </c>
      <c r="N3" s="31" t="s">
        <v>53</v>
      </c>
      <c r="O3" s="31" t="s">
        <v>45</v>
      </c>
      <c r="P3" s="31" t="s">
        <v>41</v>
      </c>
      <c r="Q3" s="6" t="s">
        <v>48</v>
      </c>
      <c r="R3" s="6" t="s">
        <v>69</v>
      </c>
      <c r="S3" s="6" t="s">
        <v>70</v>
      </c>
    </row>
    <row r="4" spans="1:20" s="27" customFormat="1" x14ac:dyDescent="0.25">
      <c r="A4" t="s">
        <v>65</v>
      </c>
      <c r="B4" s="4">
        <v>200000</v>
      </c>
      <c r="C4" s="4">
        <f t="shared" ref="C4:C16" si="0">Q4</f>
        <v>126250</v>
      </c>
      <c r="D4" s="3">
        <f t="shared" ref="D4:D23" si="1">B4-C4*1.1</f>
        <v>61125</v>
      </c>
      <c r="E4" s="29">
        <v>5000</v>
      </c>
      <c r="F4" s="29">
        <v>15000</v>
      </c>
      <c r="G4" s="10">
        <v>1</v>
      </c>
      <c r="H4" s="28">
        <f t="shared" ref="H4:H11" si="2">G4*$B$30*5000</f>
        <v>15000</v>
      </c>
      <c r="I4" s="29">
        <v>5000</v>
      </c>
      <c r="J4" s="10">
        <v>1</v>
      </c>
      <c r="K4" s="29">
        <f t="shared" ref="K4:K16" si="3">$B$30*$I$17</f>
        <v>15000</v>
      </c>
      <c r="L4" s="29">
        <f t="shared" ref="L4:L16" si="4">J4*K4</f>
        <v>15000</v>
      </c>
      <c r="M4" s="29">
        <f t="shared" ref="M4:M9" si="5">1.1*1.5*7*5000</f>
        <v>57750</v>
      </c>
      <c r="N4" s="32">
        <f t="shared" ref="N4:N7" si="6">1.1*5*5000</f>
        <v>27500</v>
      </c>
      <c r="O4" s="32">
        <f t="shared" ref="O4:O21" si="7">$B$31*5000</f>
        <v>45000</v>
      </c>
      <c r="P4" s="32">
        <f t="shared" ref="P4:P16" si="8">O4</f>
        <v>45000</v>
      </c>
      <c r="Q4" s="3">
        <f>MAX(L4,M4)+H4+M4/1.5+F4</f>
        <v>126250</v>
      </c>
      <c r="R4" s="29">
        <f t="shared" ref="R4:R9" si="9">-(B4-F4-I4*7)</f>
        <v>-150000</v>
      </c>
      <c r="S4" s="3">
        <f t="shared" ref="S4:S16" si="10">-(B4-Q4)</f>
        <v>-73750</v>
      </c>
      <c r="T4" t="s">
        <v>15</v>
      </c>
    </row>
    <row r="5" spans="1:20" s="27" customFormat="1" x14ac:dyDescent="0.25">
      <c r="A5" t="s">
        <v>66</v>
      </c>
      <c r="B5" s="4">
        <f>B4</f>
        <v>200000</v>
      </c>
      <c r="C5" s="4">
        <f t="shared" si="0"/>
        <v>126250</v>
      </c>
      <c r="D5" s="3">
        <f t="shared" si="1"/>
        <v>61125</v>
      </c>
      <c r="E5" s="29">
        <v>5000</v>
      </c>
      <c r="F5" s="29">
        <v>15000</v>
      </c>
      <c r="G5" s="10">
        <v>1</v>
      </c>
      <c r="H5" s="28">
        <f t="shared" si="2"/>
        <v>15000</v>
      </c>
      <c r="I5" s="29">
        <v>5000</v>
      </c>
      <c r="J5" s="10">
        <v>1</v>
      </c>
      <c r="K5" s="29">
        <f t="shared" si="3"/>
        <v>15000</v>
      </c>
      <c r="L5" s="29">
        <f t="shared" si="4"/>
        <v>15000</v>
      </c>
      <c r="M5" s="29">
        <f t="shared" si="5"/>
        <v>57750</v>
      </c>
      <c r="N5" s="32">
        <f t="shared" si="6"/>
        <v>27500</v>
      </c>
      <c r="O5" s="32">
        <f t="shared" si="7"/>
        <v>45000</v>
      </c>
      <c r="P5" s="32">
        <f t="shared" si="8"/>
        <v>45000</v>
      </c>
      <c r="Q5" s="3">
        <f t="shared" ref="Q5:Q27" si="11">MAX(L5,M5)+H5+M5/1.5+F5</f>
        <v>126250</v>
      </c>
      <c r="R5" s="29">
        <f t="shared" si="9"/>
        <v>-150000</v>
      </c>
      <c r="S5" s="3">
        <f t="shared" si="10"/>
        <v>-73750</v>
      </c>
      <c r="T5" t="s">
        <v>15</v>
      </c>
    </row>
    <row r="6" spans="1:20" s="27" customFormat="1" x14ac:dyDescent="0.25">
      <c r="A6" t="s">
        <v>67</v>
      </c>
      <c r="B6" s="4">
        <f t="shared" ref="B6:B27" si="12">B5</f>
        <v>200000</v>
      </c>
      <c r="C6" s="4">
        <f t="shared" si="0"/>
        <v>126250</v>
      </c>
      <c r="D6" s="3">
        <f t="shared" si="1"/>
        <v>61125</v>
      </c>
      <c r="E6" s="3">
        <v>5000</v>
      </c>
      <c r="F6" s="3">
        <f t="shared" ref="F6:F24" si="13">SUM(E4:E6)</f>
        <v>15000</v>
      </c>
      <c r="G6" s="10">
        <v>1</v>
      </c>
      <c r="H6" s="28">
        <f t="shared" si="2"/>
        <v>15000</v>
      </c>
      <c r="I6" s="29">
        <v>5000</v>
      </c>
      <c r="J6" s="10">
        <v>1</v>
      </c>
      <c r="K6" s="29">
        <f t="shared" si="3"/>
        <v>15000</v>
      </c>
      <c r="L6" s="29">
        <f t="shared" si="4"/>
        <v>15000</v>
      </c>
      <c r="M6" s="29">
        <f t="shared" si="5"/>
        <v>57750</v>
      </c>
      <c r="N6" s="32">
        <f t="shared" si="6"/>
        <v>27500</v>
      </c>
      <c r="O6" s="32">
        <f t="shared" si="7"/>
        <v>45000</v>
      </c>
      <c r="P6" s="32">
        <f t="shared" si="8"/>
        <v>45000</v>
      </c>
      <c r="Q6" s="3">
        <f t="shared" si="11"/>
        <v>126250</v>
      </c>
      <c r="R6" s="29">
        <f t="shared" si="9"/>
        <v>-150000</v>
      </c>
      <c r="S6" s="3">
        <f t="shared" si="10"/>
        <v>-73750</v>
      </c>
      <c r="T6" t="s">
        <v>15</v>
      </c>
    </row>
    <row r="7" spans="1:20" s="27" customFormat="1" x14ac:dyDescent="0.25">
      <c r="A7" t="s">
        <v>55</v>
      </c>
      <c r="B7" s="4">
        <f t="shared" si="12"/>
        <v>200000</v>
      </c>
      <c r="C7" s="4">
        <f t="shared" si="0"/>
        <v>126250</v>
      </c>
      <c r="D7" s="3">
        <f t="shared" si="1"/>
        <v>61125</v>
      </c>
      <c r="E7" s="3">
        <v>5000</v>
      </c>
      <c r="F7" s="3">
        <f t="shared" si="13"/>
        <v>15000</v>
      </c>
      <c r="G7" s="10">
        <v>1</v>
      </c>
      <c r="H7" s="28">
        <f t="shared" si="2"/>
        <v>15000</v>
      </c>
      <c r="I7" s="29">
        <v>5000</v>
      </c>
      <c r="J7" s="10">
        <v>1</v>
      </c>
      <c r="K7" s="29">
        <f t="shared" si="3"/>
        <v>15000</v>
      </c>
      <c r="L7" s="29">
        <f t="shared" si="4"/>
        <v>15000</v>
      </c>
      <c r="M7" s="29">
        <f t="shared" si="5"/>
        <v>57750</v>
      </c>
      <c r="N7" s="32">
        <f t="shared" si="6"/>
        <v>27500</v>
      </c>
      <c r="O7" s="32">
        <f t="shared" si="7"/>
        <v>45000</v>
      </c>
      <c r="P7" s="32">
        <f t="shared" si="8"/>
        <v>45000</v>
      </c>
      <c r="Q7" s="3">
        <f t="shared" si="11"/>
        <v>126250</v>
      </c>
      <c r="R7" s="29">
        <f t="shared" si="9"/>
        <v>-150000</v>
      </c>
      <c r="S7" s="3">
        <f t="shared" si="10"/>
        <v>-73750</v>
      </c>
      <c r="T7" t="s">
        <v>15</v>
      </c>
    </row>
    <row r="8" spans="1:20" s="27" customFormat="1" x14ac:dyDescent="0.25">
      <c r="A8" t="s">
        <v>56</v>
      </c>
      <c r="B8" s="4">
        <f t="shared" si="12"/>
        <v>200000</v>
      </c>
      <c r="C8" s="4">
        <f t="shared" si="0"/>
        <v>126250</v>
      </c>
      <c r="D8" s="3">
        <f t="shared" si="1"/>
        <v>61125</v>
      </c>
      <c r="E8" s="3">
        <v>5000</v>
      </c>
      <c r="F8" s="3">
        <f t="shared" si="13"/>
        <v>15000</v>
      </c>
      <c r="G8" s="10">
        <v>1</v>
      </c>
      <c r="H8" s="28">
        <f t="shared" si="2"/>
        <v>15000</v>
      </c>
      <c r="I8" s="29">
        <v>5000</v>
      </c>
      <c r="J8" s="10">
        <v>1</v>
      </c>
      <c r="K8" s="29">
        <f t="shared" si="3"/>
        <v>15000</v>
      </c>
      <c r="L8" s="29">
        <f t="shared" si="4"/>
        <v>15000</v>
      </c>
      <c r="M8" s="29">
        <f t="shared" si="5"/>
        <v>57750</v>
      </c>
      <c r="N8" s="33">
        <f t="shared" ref="N8:N22" si="14">MAX(1.1*I4,0.9*I4)+MAX(1.1*I5,0.9*I5)+MAX(1.1*I6,0.9*I6)+MAX(1.1*I7,0.9*I7)+MAX(1.1*I8,0.9*I8)</f>
        <v>27500</v>
      </c>
      <c r="O8" s="32">
        <f t="shared" si="7"/>
        <v>45000</v>
      </c>
      <c r="P8" s="32">
        <f t="shared" si="8"/>
        <v>45000</v>
      </c>
      <c r="Q8" s="3">
        <f t="shared" si="11"/>
        <v>126250</v>
      </c>
      <c r="R8" s="29">
        <f t="shared" si="9"/>
        <v>-150000</v>
      </c>
      <c r="S8" s="3">
        <f t="shared" si="10"/>
        <v>-73750</v>
      </c>
      <c r="T8" t="s">
        <v>15</v>
      </c>
    </row>
    <row r="9" spans="1:20" s="27" customFormat="1" x14ac:dyDescent="0.25">
      <c r="A9" t="s">
        <v>57</v>
      </c>
      <c r="B9" s="4">
        <f t="shared" si="12"/>
        <v>200000</v>
      </c>
      <c r="C9" s="4">
        <f t="shared" si="0"/>
        <v>126250</v>
      </c>
      <c r="D9" s="3">
        <f t="shared" si="1"/>
        <v>61125</v>
      </c>
      <c r="E9" s="3">
        <v>5000</v>
      </c>
      <c r="F9" s="3">
        <f t="shared" si="13"/>
        <v>15000</v>
      </c>
      <c r="G9" s="10">
        <v>1</v>
      </c>
      <c r="H9" s="28">
        <f t="shared" si="2"/>
        <v>15000</v>
      </c>
      <c r="I9" s="29">
        <v>5000</v>
      </c>
      <c r="J9" s="10">
        <v>1</v>
      </c>
      <c r="K9" s="29">
        <f t="shared" si="3"/>
        <v>15000</v>
      </c>
      <c r="L9" s="29">
        <f t="shared" si="4"/>
        <v>15000</v>
      </c>
      <c r="M9" s="29">
        <f t="shared" si="5"/>
        <v>57750</v>
      </c>
      <c r="N9" s="33">
        <f t="shared" si="14"/>
        <v>27500</v>
      </c>
      <c r="O9" s="32">
        <f t="shared" si="7"/>
        <v>45000</v>
      </c>
      <c r="P9" s="32">
        <f t="shared" si="8"/>
        <v>45000</v>
      </c>
      <c r="Q9" s="3">
        <f t="shared" si="11"/>
        <v>126250</v>
      </c>
      <c r="R9" s="29">
        <f t="shared" si="9"/>
        <v>-150000</v>
      </c>
      <c r="S9" s="3">
        <f t="shared" si="10"/>
        <v>-73750</v>
      </c>
      <c r="T9" t="s">
        <v>15</v>
      </c>
    </row>
    <row r="10" spans="1:20" s="27" customFormat="1" x14ac:dyDescent="0.25">
      <c r="A10" t="s">
        <v>58</v>
      </c>
      <c r="B10" s="4">
        <f t="shared" si="12"/>
        <v>200000</v>
      </c>
      <c r="C10" s="4">
        <f t="shared" si="0"/>
        <v>126250</v>
      </c>
      <c r="D10" s="3">
        <f t="shared" si="1"/>
        <v>61125</v>
      </c>
      <c r="E10" s="3">
        <v>5000</v>
      </c>
      <c r="F10" s="3">
        <f t="shared" si="13"/>
        <v>15000</v>
      </c>
      <c r="G10" s="10">
        <v>1</v>
      </c>
      <c r="H10" s="28">
        <f t="shared" si="2"/>
        <v>15000</v>
      </c>
      <c r="I10" s="29">
        <v>5000</v>
      </c>
      <c r="J10" s="10">
        <v>1</v>
      </c>
      <c r="K10" s="29">
        <f t="shared" si="3"/>
        <v>15000</v>
      </c>
      <c r="L10" s="29">
        <f t="shared" si="4"/>
        <v>15000</v>
      </c>
      <c r="M10" s="3">
        <f t="shared" ref="M10:M22" si="15">1.5*(MAX(1.1*I4,0.9*I4)+MAX(1.1*I5,0.9*I5)+MAX(1.1*I6,0.9*I6)+MAX(1.1*I7,0.9*I7)+MAX(1.1*I8,0.9*I8)+MAX(1.1*I9,0.9*I9)+MAX(1.1*I10,0.9*I10))</f>
        <v>57750</v>
      </c>
      <c r="N10" s="33">
        <f t="shared" si="14"/>
        <v>27500</v>
      </c>
      <c r="O10" s="32">
        <f t="shared" si="7"/>
        <v>45000</v>
      </c>
      <c r="P10" s="32">
        <f t="shared" si="8"/>
        <v>45000</v>
      </c>
      <c r="Q10" s="3">
        <f t="shared" si="11"/>
        <v>126250</v>
      </c>
      <c r="R10" s="3">
        <f t="shared" ref="R10:R22" si="16">-(B10-F10-SUM(I4:I10))</f>
        <v>-150000</v>
      </c>
      <c r="S10" s="3">
        <f t="shared" si="10"/>
        <v>-73750</v>
      </c>
      <c r="T10" t="s">
        <v>15</v>
      </c>
    </row>
    <row r="11" spans="1:20" s="27" customFormat="1" x14ac:dyDescent="0.25">
      <c r="A11" t="s">
        <v>59</v>
      </c>
      <c r="B11" s="4">
        <f t="shared" si="12"/>
        <v>200000</v>
      </c>
      <c r="C11" s="4">
        <f t="shared" si="0"/>
        <v>126250</v>
      </c>
      <c r="D11" s="3">
        <f t="shared" si="1"/>
        <v>61125</v>
      </c>
      <c r="E11" s="3">
        <v>5000</v>
      </c>
      <c r="F11" s="3">
        <f t="shared" si="13"/>
        <v>15000</v>
      </c>
      <c r="G11" s="10">
        <v>1</v>
      </c>
      <c r="H11" s="28">
        <f t="shared" si="2"/>
        <v>15000</v>
      </c>
      <c r="I11" s="29">
        <v>5000</v>
      </c>
      <c r="J11" s="10">
        <v>1</v>
      </c>
      <c r="K11" s="29">
        <f t="shared" si="3"/>
        <v>15000</v>
      </c>
      <c r="L11" s="29">
        <f t="shared" si="4"/>
        <v>15000</v>
      </c>
      <c r="M11" s="3">
        <f t="shared" si="15"/>
        <v>57750</v>
      </c>
      <c r="N11" s="33">
        <f t="shared" si="14"/>
        <v>27500</v>
      </c>
      <c r="O11" s="32">
        <f t="shared" si="7"/>
        <v>45000</v>
      </c>
      <c r="P11" s="32">
        <f t="shared" si="8"/>
        <v>45000</v>
      </c>
      <c r="Q11" s="3">
        <f t="shared" si="11"/>
        <v>126250</v>
      </c>
      <c r="R11" s="3">
        <f t="shared" si="16"/>
        <v>-150000</v>
      </c>
      <c r="S11" s="3">
        <f t="shared" si="10"/>
        <v>-73750</v>
      </c>
      <c r="T11" t="s">
        <v>15</v>
      </c>
    </row>
    <row r="12" spans="1:20" s="27" customFormat="1" x14ac:dyDescent="0.25">
      <c r="A12" t="s">
        <v>60</v>
      </c>
      <c r="B12" s="4">
        <f t="shared" si="12"/>
        <v>200000</v>
      </c>
      <c r="C12" s="4">
        <f t="shared" si="0"/>
        <v>126250</v>
      </c>
      <c r="D12" s="3">
        <f t="shared" si="1"/>
        <v>61125</v>
      </c>
      <c r="E12" s="3">
        <v>5000</v>
      </c>
      <c r="F12" s="3">
        <f t="shared" si="13"/>
        <v>15000</v>
      </c>
      <c r="G12" s="10">
        <v>1</v>
      </c>
      <c r="H12" s="10">
        <f t="shared" ref="H12:H24" si="17">G12*$B$30*SUM(E4:E10)/7</f>
        <v>15000</v>
      </c>
      <c r="I12" s="29">
        <v>5000</v>
      </c>
      <c r="J12" s="10">
        <v>1</v>
      </c>
      <c r="K12" s="29">
        <f t="shared" si="3"/>
        <v>15000</v>
      </c>
      <c r="L12" s="29">
        <f t="shared" si="4"/>
        <v>15000</v>
      </c>
      <c r="M12" s="3">
        <f t="shared" si="15"/>
        <v>57750</v>
      </c>
      <c r="N12" s="33">
        <f t="shared" si="14"/>
        <v>27500</v>
      </c>
      <c r="O12" s="32">
        <f t="shared" si="7"/>
        <v>45000</v>
      </c>
      <c r="P12" s="32">
        <f t="shared" si="8"/>
        <v>45000</v>
      </c>
      <c r="Q12" s="3">
        <f t="shared" si="11"/>
        <v>126250</v>
      </c>
      <c r="R12" s="3">
        <f t="shared" si="16"/>
        <v>-150000</v>
      </c>
      <c r="S12" s="3">
        <f t="shared" si="10"/>
        <v>-73750</v>
      </c>
      <c r="T12" t="s">
        <v>15</v>
      </c>
    </row>
    <row r="13" spans="1:20" s="27" customFormat="1" x14ac:dyDescent="0.25">
      <c r="A13" t="s">
        <v>61</v>
      </c>
      <c r="B13" s="4">
        <f t="shared" si="12"/>
        <v>200000</v>
      </c>
      <c r="C13" s="4">
        <f t="shared" si="0"/>
        <v>126250</v>
      </c>
      <c r="D13" s="3">
        <f t="shared" si="1"/>
        <v>61125</v>
      </c>
      <c r="E13" s="3">
        <v>5000</v>
      </c>
      <c r="F13" s="3">
        <f t="shared" si="13"/>
        <v>15000</v>
      </c>
      <c r="G13" s="10">
        <v>1</v>
      </c>
      <c r="H13" s="10">
        <f t="shared" si="17"/>
        <v>15000</v>
      </c>
      <c r="I13" s="29">
        <v>5000</v>
      </c>
      <c r="J13" s="10">
        <v>1</v>
      </c>
      <c r="K13" s="29">
        <f t="shared" si="3"/>
        <v>15000</v>
      </c>
      <c r="L13" s="29">
        <f t="shared" si="4"/>
        <v>15000</v>
      </c>
      <c r="M13" s="3">
        <f t="shared" si="15"/>
        <v>57750</v>
      </c>
      <c r="N13" s="33">
        <f t="shared" si="14"/>
        <v>27500</v>
      </c>
      <c r="O13" s="32">
        <f t="shared" si="7"/>
        <v>45000</v>
      </c>
      <c r="P13" s="32">
        <f t="shared" si="8"/>
        <v>45000</v>
      </c>
      <c r="Q13" s="3">
        <f t="shared" si="11"/>
        <v>126250</v>
      </c>
      <c r="R13" s="3">
        <f t="shared" si="16"/>
        <v>-150000</v>
      </c>
      <c r="S13" s="3">
        <f t="shared" si="10"/>
        <v>-73750</v>
      </c>
      <c r="T13" t="s">
        <v>15</v>
      </c>
    </row>
    <row r="14" spans="1:20" s="27" customFormat="1" x14ac:dyDescent="0.25">
      <c r="A14" t="s">
        <v>62</v>
      </c>
      <c r="B14" s="4">
        <f t="shared" si="12"/>
        <v>200000</v>
      </c>
      <c r="C14" s="4">
        <f t="shared" si="0"/>
        <v>126250</v>
      </c>
      <c r="D14" s="3">
        <f t="shared" si="1"/>
        <v>61125</v>
      </c>
      <c r="E14" s="3">
        <v>5000</v>
      </c>
      <c r="F14" s="3">
        <f t="shared" si="13"/>
        <v>15000</v>
      </c>
      <c r="G14" s="10">
        <v>1</v>
      </c>
      <c r="H14" s="10">
        <f t="shared" si="17"/>
        <v>15000</v>
      </c>
      <c r="I14" s="29">
        <v>5000</v>
      </c>
      <c r="J14" s="10">
        <v>1</v>
      </c>
      <c r="K14" s="29">
        <f t="shared" si="3"/>
        <v>15000</v>
      </c>
      <c r="L14" s="29">
        <f t="shared" si="4"/>
        <v>15000</v>
      </c>
      <c r="M14" s="3">
        <f t="shared" si="15"/>
        <v>57750</v>
      </c>
      <c r="N14" s="33">
        <f t="shared" si="14"/>
        <v>27500</v>
      </c>
      <c r="O14" s="32">
        <f t="shared" si="7"/>
        <v>45000</v>
      </c>
      <c r="P14" s="32">
        <f t="shared" si="8"/>
        <v>45000</v>
      </c>
      <c r="Q14" s="3">
        <f t="shared" si="11"/>
        <v>126250</v>
      </c>
      <c r="R14" s="3">
        <f t="shared" si="16"/>
        <v>-150000</v>
      </c>
      <c r="S14" s="3">
        <f t="shared" si="10"/>
        <v>-73750</v>
      </c>
      <c r="T14" t="s">
        <v>15</v>
      </c>
    </row>
    <row r="15" spans="1:20" s="27" customFormat="1" x14ac:dyDescent="0.25">
      <c r="A15" t="s">
        <v>63</v>
      </c>
      <c r="B15" s="4">
        <f t="shared" si="12"/>
        <v>200000</v>
      </c>
      <c r="C15" s="4">
        <f t="shared" si="0"/>
        <v>126250</v>
      </c>
      <c r="D15" s="3">
        <f t="shared" si="1"/>
        <v>61125</v>
      </c>
      <c r="E15" s="3">
        <v>5000</v>
      </c>
      <c r="F15" s="3">
        <f t="shared" si="13"/>
        <v>15000</v>
      </c>
      <c r="G15" s="10">
        <v>1</v>
      </c>
      <c r="H15" s="10">
        <f t="shared" si="17"/>
        <v>15000</v>
      </c>
      <c r="I15" s="29">
        <v>5000</v>
      </c>
      <c r="J15" s="10">
        <v>1</v>
      </c>
      <c r="K15" s="29">
        <f t="shared" si="3"/>
        <v>15000</v>
      </c>
      <c r="L15" s="29">
        <f t="shared" si="4"/>
        <v>15000</v>
      </c>
      <c r="M15" s="3">
        <f t="shared" si="15"/>
        <v>57750</v>
      </c>
      <c r="N15" s="33">
        <f t="shared" si="14"/>
        <v>27500</v>
      </c>
      <c r="O15" s="32">
        <f t="shared" si="7"/>
        <v>45000</v>
      </c>
      <c r="P15" s="32">
        <f t="shared" si="8"/>
        <v>45000</v>
      </c>
      <c r="Q15" s="3">
        <f t="shared" si="11"/>
        <v>126250</v>
      </c>
      <c r="R15" s="3">
        <f t="shared" si="16"/>
        <v>-150000</v>
      </c>
      <c r="S15" s="3">
        <f t="shared" si="10"/>
        <v>-73750</v>
      </c>
      <c r="T15" t="s">
        <v>15</v>
      </c>
    </row>
    <row r="16" spans="1:20" s="27" customFormat="1" x14ac:dyDescent="0.25">
      <c r="A16" t="s">
        <v>64</v>
      </c>
      <c r="B16" s="4">
        <f t="shared" si="12"/>
        <v>200000</v>
      </c>
      <c r="C16" s="4">
        <f t="shared" si="0"/>
        <v>126250</v>
      </c>
      <c r="D16" s="3">
        <f t="shared" si="1"/>
        <v>61125</v>
      </c>
      <c r="E16" s="3">
        <v>5000</v>
      </c>
      <c r="F16" s="3">
        <f t="shared" si="13"/>
        <v>15000</v>
      </c>
      <c r="G16" s="10">
        <v>1</v>
      </c>
      <c r="H16" s="10">
        <f t="shared" si="17"/>
        <v>15000</v>
      </c>
      <c r="I16" s="29">
        <v>5000</v>
      </c>
      <c r="J16" s="10">
        <v>1</v>
      </c>
      <c r="K16" s="29">
        <f t="shared" si="3"/>
        <v>15000</v>
      </c>
      <c r="L16" s="29">
        <f t="shared" si="4"/>
        <v>15000</v>
      </c>
      <c r="M16" s="3">
        <f t="shared" si="15"/>
        <v>57750</v>
      </c>
      <c r="N16" s="33">
        <f t="shared" si="14"/>
        <v>27500</v>
      </c>
      <c r="O16" s="32">
        <f t="shared" si="7"/>
        <v>45000</v>
      </c>
      <c r="P16" s="32">
        <f t="shared" si="8"/>
        <v>45000</v>
      </c>
      <c r="Q16" s="3">
        <f t="shared" si="11"/>
        <v>126250</v>
      </c>
      <c r="R16" s="3">
        <f t="shared" si="16"/>
        <v>-150000</v>
      </c>
      <c r="S16" s="3">
        <f t="shared" si="10"/>
        <v>-73750</v>
      </c>
      <c r="T16" t="s">
        <v>15</v>
      </c>
    </row>
    <row r="17" spans="1:20" s="1" customFormat="1" x14ac:dyDescent="0.25">
      <c r="A17" t="s">
        <v>16</v>
      </c>
      <c r="B17" s="4">
        <f t="shared" si="12"/>
        <v>200000</v>
      </c>
      <c r="C17" s="4">
        <f>Q17</f>
        <v>126250</v>
      </c>
      <c r="D17" s="3">
        <f t="shared" si="1"/>
        <v>61125</v>
      </c>
      <c r="E17" s="3">
        <v>5000</v>
      </c>
      <c r="F17" s="3">
        <f t="shared" si="13"/>
        <v>15000</v>
      </c>
      <c r="G17" s="10">
        <v>1</v>
      </c>
      <c r="H17" s="10">
        <f t="shared" si="17"/>
        <v>15000</v>
      </c>
      <c r="I17" s="29">
        <v>5000</v>
      </c>
      <c r="J17" s="10">
        <v>1</v>
      </c>
      <c r="K17" s="29">
        <f t="shared" ref="K17:K23" si="18">$B$30*$I$17</f>
        <v>15000</v>
      </c>
      <c r="L17" s="29">
        <f>J17*K17</f>
        <v>15000</v>
      </c>
      <c r="M17" s="3">
        <f t="shared" si="15"/>
        <v>57750</v>
      </c>
      <c r="N17" s="33">
        <f t="shared" si="14"/>
        <v>27500</v>
      </c>
      <c r="O17" s="32">
        <f t="shared" si="7"/>
        <v>45000</v>
      </c>
      <c r="P17" s="32">
        <f>O17</f>
        <v>45000</v>
      </c>
      <c r="Q17" s="3">
        <f t="shared" si="11"/>
        <v>126250</v>
      </c>
      <c r="R17" s="3">
        <f t="shared" si="16"/>
        <v>-150000</v>
      </c>
      <c r="S17" s="3">
        <f t="shared" ref="S17:S27" si="19">-(B17-Q17)</f>
        <v>-73750</v>
      </c>
      <c r="T17" t="s">
        <v>15</v>
      </c>
    </row>
    <row r="18" spans="1:20" s="1" customFormat="1" x14ac:dyDescent="0.25">
      <c r="A18" t="s">
        <v>17</v>
      </c>
      <c r="B18" s="4">
        <f t="shared" si="12"/>
        <v>200000</v>
      </c>
      <c r="C18" s="4">
        <f>Q17</f>
        <v>126250</v>
      </c>
      <c r="D18" s="3">
        <f t="shared" si="1"/>
        <v>61125</v>
      </c>
      <c r="E18" s="3">
        <v>5000</v>
      </c>
      <c r="F18" s="3">
        <f t="shared" si="13"/>
        <v>15000</v>
      </c>
      <c r="G18" s="10">
        <v>1</v>
      </c>
      <c r="H18" s="10">
        <f t="shared" si="17"/>
        <v>15000</v>
      </c>
      <c r="I18" s="3">
        <v>5000</v>
      </c>
      <c r="J18" s="10">
        <v>1</v>
      </c>
      <c r="K18" s="29">
        <f t="shared" si="18"/>
        <v>15000</v>
      </c>
      <c r="L18" s="29">
        <f t="shared" ref="L18:L23" si="20">J18*K18</f>
        <v>15000</v>
      </c>
      <c r="M18" s="3">
        <f t="shared" si="15"/>
        <v>57750</v>
      </c>
      <c r="N18" s="33">
        <f t="shared" si="14"/>
        <v>27500</v>
      </c>
      <c r="O18" s="32">
        <f t="shared" si="7"/>
        <v>45000</v>
      </c>
      <c r="P18" s="32">
        <f t="shared" ref="P18:P23" si="21">O18</f>
        <v>45000</v>
      </c>
      <c r="Q18" s="3">
        <f t="shared" si="11"/>
        <v>126250</v>
      </c>
      <c r="R18" s="3">
        <f t="shared" si="16"/>
        <v>-150000</v>
      </c>
      <c r="S18" s="3">
        <f t="shared" si="19"/>
        <v>-73750</v>
      </c>
      <c r="T18" t="s">
        <v>15</v>
      </c>
    </row>
    <row r="19" spans="1:20" s="1" customFormat="1" x14ac:dyDescent="0.25">
      <c r="A19" t="s">
        <v>18</v>
      </c>
      <c r="B19" s="4">
        <f t="shared" si="12"/>
        <v>200000</v>
      </c>
      <c r="C19" s="4">
        <f t="shared" ref="C19:C27" si="22">Q18</f>
        <v>126250</v>
      </c>
      <c r="D19" s="3">
        <f t="shared" si="1"/>
        <v>61125</v>
      </c>
      <c r="E19" s="3">
        <v>5000</v>
      </c>
      <c r="F19" s="3">
        <f t="shared" si="13"/>
        <v>15000</v>
      </c>
      <c r="G19" s="10">
        <v>1</v>
      </c>
      <c r="H19" s="10">
        <f t="shared" si="17"/>
        <v>15000</v>
      </c>
      <c r="I19" s="3">
        <v>5000</v>
      </c>
      <c r="J19" s="10">
        <v>1</v>
      </c>
      <c r="K19" s="29">
        <f t="shared" si="18"/>
        <v>15000</v>
      </c>
      <c r="L19" s="29">
        <f t="shared" si="20"/>
        <v>15000</v>
      </c>
      <c r="M19" s="3">
        <f t="shared" si="15"/>
        <v>57750</v>
      </c>
      <c r="N19" s="33">
        <f t="shared" si="14"/>
        <v>27500</v>
      </c>
      <c r="O19" s="32">
        <f t="shared" si="7"/>
        <v>45000</v>
      </c>
      <c r="P19" s="32">
        <f t="shared" si="21"/>
        <v>45000</v>
      </c>
      <c r="Q19" s="3">
        <f t="shared" si="11"/>
        <v>126250</v>
      </c>
      <c r="R19" s="3">
        <f t="shared" si="16"/>
        <v>-150000</v>
      </c>
      <c r="S19" s="3">
        <f t="shared" si="19"/>
        <v>-73750</v>
      </c>
      <c r="T19" t="s">
        <v>15</v>
      </c>
    </row>
    <row r="20" spans="1:20" s="1" customFormat="1" x14ac:dyDescent="0.25">
      <c r="A20" t="s">
        <v>19</v>
      </c>
      <c r="B20" s="4">
        <f t="shared" si="12"/>
        <v>200000</v>
      </c>
      <c r="C20" s="4">
        <f t="shared" si="22"/>
        <v>126250</v>
      </c>
      <c r="D20" s="3">
        <f t="shared" si="1"/>
        <v>61125</v>
      </c>
      <c r="E20" s="3">
        <v>5000</v>
      </c>
      <c r="F20" s="3">
        <f t="shared" si="13"/>
        <v>15000</v>
      </c>
      <c r="G20" s="10">
        <v>1</v>
      </c>
      <c r="H20" s="10">
        <f t="shared" si="17"/>
        <v>15000</v>
      </c>
      <c r="I20" s="3">
        <v>5000</v>
      </c>
      <c r="J20" s="10">
        <v>1</v>
      </c>
      <c r="K20" s="29">
        <f t="shared" si="18"/>
        <v>15000</v>
      </c>
      <c r="L20" s="29">
        <f t="shared" si="20"/>
        <v>15000</v>
      </c>
      <c r="M20" s="3">
        <f t="shared" si="15"/>
        <v>57750</v>
      </c>
      <c r="N20" s="33">
        <f t="shared" si="14"/>
        <v>27500</v>
      </c>
      <c r="O20" s="32">
        <f t="shared" si="7"/>
        <v>45000</v>
      </c>
      <c r="P20" s="32">
        <f t="shared" si="21"/>
        <v>45000</v>
      </c>
      <c r="Q20" s="3">
        <f t="shared" si="11"/>
        <v>126250</v>
      </c>
      <c r="R20" s="3">
        <f t="shared" si="16"/>
        <v>-150000</v>
      </c>
      <c r="S20" s="3">
        <f t="shared" si="19"/>
        <v>-73750</v>
      </c>
      <c r="T20" t="s">
        <v>15</v>
      </c>
    </row>
    <row r="21" spans="1:20" s="1" customFormat="1" x14ac:dyDescent="0.25">
      <c r="A21" t="s">
        <v>20</v>
      </c>
      <c r="B21" s="4">
        <f t="shared" si="12"/>
        <v>200000</v>
      </c>
      <c r="C21" s="4">
        <f t="shared" si="22"/>
        <v>126250</v>
      </c>
      <c r="D21" s="3">
        <f t="shared" si="1"/>
        <v>61125</v>
      </c>
      <c r="E21" s="3">
        <v>5000</v>
      </c>
      <c r="F21" s="3">
        <f t="shared" si="13"/>
        <v>15000</v>
      </c>
      <c r="G21" s="10">
        <v>1</v>
      </c>
      <c r="H21" s="10">
        <f t="shared" si="17"/>
        <v>15000</v>
      </c>
      <c r="I21" s="3">
        <v>5000</v>
      </c>
      <c r="J21" s="10">
        <v>1</v>
      </c>
      <c r="K21" s="29">
        <f t="shared" si="18"/>
        <v>15000</v>
      </c>
      <c r="L21" s="29">
        <f t="shared" si="20"/>
        <v>15000</v>
      </c>
      <c r="M21" s="3">
        <f t="shared" si="15"/>
        <v>57750</v>
      </c>
      <c r="N21" s="33">
        <f t="shared" si="14"/>
        <v>27500</v>
      </c>
      <c r="O21" s="32">
        <f t="shared" si="7"/>
        <v>45000</v>
      </c>
      <c r="P21" s="32">
        <f t="shared" si="21"/>
        <v>45000</v>
      </c>
      <c r="Q21" s="3">
        <f t="shared" si="11"/>
        <v>126250</v>
      </c>
      <c r="R21" s="3">
        <f t="shared" si="16"/>
        <v>-150000</v>
      </c>
      <c r="S21" s="3">
        <f t="shared" si="19"/>
        <v>-73750</v>
      </c>
      <c r="T21" t="s">
        <v>15</v>
      </c>
    </row>
    <row r="22" spans="1:20" s="1" customFormat="1" x14ac:dyDescent="0.25">
      <c r="A22" t="s">
        <v>21</v>
      </c>
      <c r="B22" s="4">
        <f t="shared" si="12"/>
        <v>200000</v>
      </c>
      <c r="C22" s="4">
        <f t="shared" si="22"/>
        <v>126250</v>
      </c>
      <c r="D22" s="3">
        <f t="shared" si="1"/>
        <v>61125</v>
      </c>
      <c r="E22" s="3">
        <v>5000</v>
      </c>
      <c r="F22" s="3">
        <f t="shared" si="13"/>
        <v>15000</v>
      </c>
      <c r="G22" s="10">
        <v>1</v>
      </c>
      <c r="H22" s="10">
        <f t="shared" si="17"/>
        <v>15000</v>
      </c>
      <c r="I22" s="3">
        <v>5000</v>
      </c>
      <c r="J22" s="10">
        <v>1</v>
      </c>
      <c r="K22" s="29">
        <f t="shared" si="18"/>
        <v>15000</v>
      </c>
      <c r="L22" s="29">
        <f t="shared" si="20"/>
        <v>15000</v>
      </c>
      <c r="M22" s="3">
        <f t="shared" si="15"/>
        <v>57750</v>
      </c>
      <c r="N22" s="33">
        <f t="shared" si="14"/>
        <v>27500</v>
      </c>
      <c r="O22" s="33">
        <f>$B$31*SUM(I4:I17)/14</f>
        <v>45000</v>
      </c>
      <c r="P22" s="32">
        <f t="shared" si="21"/>
        <v>45000</v>
      </c>
      <c r="Q22" s="3">
        <f t="shared" si="11"/>
        <v>126250</v>
      </c>
      <c r="R22" s="3">
        <f t="shared" si="16"/>
        <v>-150000</v>
      </c>
      <c r="S22" s="3">
        <f t="shared" si="19"/>
        <v>-73750</v>
      </c>
      <c r="T22" t="s">
        <v>15</v>
      </c>
    </row>
    <row r="23" spans="1:20" s="1" customFormat="1" x14ac:dyDescent="0.25">
      <c r="A23" t="s">
        <v>22</v>
      </c>
      <c r="B23" s="4">
        <f t="shared" si="12"/>
        <v>200000</v>
      </c>
      <c r="C23" s="4">
        <f t="shared" si="22"/>
        <v>126250</v>
      </c>
      <c r="D23" s="3">
        <f t="shared" si="1"/>
        <v>61125</v>
      </c>
      <c r="E23" s="3">
        <v>5000</v>
      </c>
      <c r="F23" s="3">
        <f t="shared" si="13"/>
        <v>15000</v>
      </c>
      <c r="G23" s="10">
        <v>1</v>
      </c>
      <c r="H23" s="10">
        <f t="shared" si="17"/>
        <v>15000</v>
      </c>
      <c r="I23" s="3">
        <v>5000</v>
      </c>
      <c r="J23" s="10">
        <v>1</v>
      </c>
      <c r="K23" s="29">
        <f t="shared" si="18"/>
        <v>15000</v>
      </c>
      <c r="L23" s="29">
        <f t="shared" si="20"/>
        <v>15000</v>
      </c>
      <c r="M23" s="3">
        <f>1.5*(MAX(1.1*I17,0.9*I17)+MAX(1.1*I18,0.9*I18)+MAX(1.1*I19,0.9*I19)+MAX(1.1*I20,0.9*I20)+MAX(1.1*I21,0.9*I21)+MAX(1.1*I22,0.9*I22)+MAX(1.1*I23,0.9*I23))</f>
        <v>57750</v>
      </c>
      <c r="N23" s="33">
        <f>MAX(1.1*I19,0.9*I19)+MAX(1.1*I20,0.9*I20)+MAX(1.1*I21,0.9*I21)+MAX(1.1*I22,0.9*I22)+MAX(1.1*I23,0.9*I23)</f>
        <v>27500</v>
      </c>
      <c r="O23" s="33">
        <f t="shared" ref="O23:O27" si="23">$B$31*SUM(I5:I18)/14</f>
        <v>45000</v>
      </c>
      <c r="P23" s="32">
        <f t="shared" si="21"/>
        <v>45000</v>
      </c>
      <c r="Q23" s="3">
        <f t="shared" si="11"/>
        <v>126250</v>
      </c>
      <c r="R23" s="3">
        <f>-(B23-F23-SUM(I17:I23))</f>
        <v>-150000</v>
      </c>
      <c r="S23" s="3">
        <f t="shared" si="19"/>
        <v>-73750</v>
      </c>
      <c r="T23" t="s">
        <v>15</v>
      </c>
    </row>
    <row r="24" spans="1:20" x14ac:dyDescent="0.25">
      <c r="A24" s="7" t="s">
        <v>0</v>
      </c>
      <c r="B24" s="23">
        <f t="shared" si="12"/>
        <v>200000</v>
      </c>
      <c r="C24" s="23">
        <f t="shared" si="22"/>
        <v>126250</v>
      </c>
      <c r="D24" s="24">
        <f>B24-C24*1.1</f>
        <v>61125</v>
      </c>
      <c r="E24" s="24">
        <v>-5000</v>
      </c>
      <c r="F24" s="24">
        <f t="shared" si="13"/>
        <v>5000</v>
      </c>
      <c r="G24" s="25">
        <v>2</v>
      </c>
      <c r="H24" s="25">
        <f t="shared" si="17"/>
        <v>30000</v>
      </c>
      <c r="I24" s="24">
        <v>-5000</v>
      </c>
      <c r="J24" s="25">
        <v>2</v>
      </c>
      <c r="K24" s="24">
        <f>$B$30*SUM(E4:E17)/14</f>
        <v>15000</v>
      </c>
      <c r="L24" s="24">
        <f>J24*MAX(K4:K24)</f>
        <v>30000</v>
      </c>
      <c r="M24" s="24">
        <f t="shared" ref="M24:M27" si="24">1.5*(MAX(1.1*I18,0.9*I18)+MAX(1.1*I19,0.9*I19)+MAX(1.1*I20,0.9*I20)+MAX(1.1*I21,0.9*I21)+MAX(1.1*I22,0.9*I22)+MAX(1.1*I23,0.9*I23)+MAX(1.1*I24,0.9*I24))</f>
        <v>42750</v>
      </c>
      <c r="N24" s="33">
        <f>MAX(1.1*I20,0.9*I20)+MAX(1.1*I21,0.9*I21)+MAX(1.1*I22,0.9*I22)+MAX(1.1*I23,0.9*I23)+MAX(1.1*I24,0.9*I24)</f>
        <v>17500</v>
      </c>
      <c r="O24" s="33">
        <f t="shared" si="23"/>
        <v>45000</v>
      </c>
      <c r="P24" s="33">
        <f>MAX(O4:O24)</f>
        <v>45000</v>
      </c>
      <c r="Q24" s="24">
        <f t="shared" si="11"/>
        <v>106250</v>
      </c>
      <c r="R24" s="24">
        <f>-(B24-F24-SUM(I18:I24))</f>
        <v>-170000</v>
      </c>
      <c r="S24" s="24">
        <f t="shared" si="19"/>
        <v>-93750</v>
      </c>
      <c r="T24" t="s">
        <v>49</v>
      </c>
    </row>
    <row r="25" spans="1:20" x14ac:dyDescent="0.25">
      <c r="A25" s="8" t="s">
        <v>1</v>
      </c>
      <c r="B25" s="4">
        <f t="shared" si="12"/>
        <v>200000</v>
      </c>
      <c r="C25" s="4">
        <f t="shared" si="22"/>
        <v>106250</v>
      </c>
      <c r="D25" s="3">
        <f t="shared" ref="D25:D27" si="25">B25-C25*1.1</f>
        <v>83124.999999999985</v>
      </c>
      <c r="E25" s="3">
        <v>0</v>
      </c>
      <c r="F25" s="3">
        <f>F24+E25+I18</f>
        <v>10000</v>
      </c>
      <c r="G25" s="10">
        <v>2</v>
      </c>
      <c r="H25" s="10">
        <f>G25*$B$30*SUM(E17:E23)/7</f>
        <v>30000</v>
      </c>
      <c r="I25" s="3">
        <v>-5000</v>
      </c>
      <c r="J25" s="10">
        <v>2</v>
      </c>
      <c r="K25" s="26">
        <f t="shared" ref="K25:K27" si="26">$B$30*SUM(E5:E18)/14</f>
        <v>15000</v>
      </c>
      <c r="L25" s="26">
        <f t="shared" ref="L25:L27" si="27">J25*MAX(K5:K25)</f>
        <v>30000</v>
      </c>
      <c r="M25" s="3">
        <f t="shared" si="24"/>
        <v>27750</v>
      </c>
      <c r="N25" s="33">
        <f t="shared" ref="N25:N27" si="28">MAX(1.1*I21,0.9*I21)+MAX(1.1*I22,0.9*I22)+MAX(1.1*I23,0.9*I23)+MAX(1.1*I24,0.9*I24)+MAX(1.1*I25,0.9*I25)</f>
        <v>7500</v>
      </c>
      <c r="O25" s="33">
        <f t="shared" si="23"/>
        <v>45000</v>
      </c>
      <c r="P25" s="33">
        <f t="shared" ref="P25:P27" si="29">MAX(O5:O25)</f>
        <v>45000</v>
      </c>
      <c r="Q25" s="3">
        <f t="shared" si="11"/>
        <v>88500</v>
      </c>
      <c r="R25" s="3">
        <f>-(B25-F25-SUM(I19:I25))</f>
        <v>-175000</v>
      </c>
      <c r="S25" s="3">
        <f t="shared" si="19"/>
        <v>-111500</v>
      </c>
      <c r="T25" t="s">
        <v>5</v>
      </c>
    </row>
    <row r="26" spans="1:20" x14ac:dyDescent="0.25">
      <c r="A26" s="8" t="s">
        <v>2</v>
      </c>
      <c r="B26" s="4">
        <f t="shared" si="12"/>
        <v>200000</v>
      </c>
      <c r="C26" s="4">
        <f t="shared" si="22"/>
        <v>88500</v>
      </c>
      <c r="D26" s="3">
        <f t="shared" si="25"/>
        <v>102649.99999999999</v>
      </c>
      <c r="E26" s="3">
        <v>0</v>
      </c>
      <c r="F26" s="3">
        <f t="shared" ref="F26:F27" si="30">F25+E26+I19</f>
        <v>15000</v>
      </c>
      <c r="G26" s="10">
        <v>2</v>
      </c>
      <c r="H26" s="10">
        <f t="shared" ref="H26:H27" si="31">G26*$B$30*SUM(E18:E24)/7</f>
        <v>21428.571428571428</v>
      </c>
      <c r="I26" s="3">
        <v>-5000</v>
      </c>
      <c r="J26" s="10">
        <v>2</v>
      </c>
      <c r="K26" s="26">
        <f t="shared" si="26"/>
        <v>15000</v>
      </c>
      <c r="L26" s="26">
        <f t="shared" si="27"/>
        <v>30000</v>
      </c>
      <c r="M26" s="3">
        <f t="shared" si="24"/>
        <v>12750</v>
      </c>
      <c r="N26" s="33">
        <f t="shared" si="28"/>
        <v>-2500</v>
      </c>
      <c r="O26" s="33">
        <f t="shared" si="23"/>
        <v>45000</v>
      </c>
      <c r="P26" s="33">
        <f t="shared" si="29"/>
        <v>45000</v>
      </c>
      <c r="Q26" s="3">
        <f t="shared" si="11"/>
        <v>74928.57142857142</v>
      </c>
      <c r="R26" s="3">
        <f>-(B26-F26-SUM(I20:I26))</f>
        <v>-180000</v>
      </c>
      <c r="S26" s="3">
        <f t="shared" si="19"/>
        <v>-125071.42857142858</v>
      </c>
      <c r="T26" t="s">
        <v>4</v>
      </c>
    </row>
    <row r="27" spans="1:20" x14ac:dyDescent="0.25">
      <c r="A27" s="8" t="s">
        <v>3</v>
      </c>
      <c r="B27" s="4">
        <f t="shared" si="12"/>
        <v>200000</v>
      </c>
      <c r="C27" s="4">
        <f t="shared" si="22"/>
        <v>74928.57142857142</v>
      </c>
      <c r="D27" s="3">
        <f t="shared" si="25"/>
        <v>117578.57142857143</v>
      </c>
      <c r="E27" s="3">
        <v>0</v>
      </c>
      <c r="F27" s="3">
        <f t="shared" si="30"/>
        <v>20000</v>
      </c>
      <c r="G27" s="10">
        <v>2</v>
      </c>
      <c r="H27" s="10">
        <f t="shared" si="31"/>
        <v>17142.857142857141</v>
      </c>
      <c r="I27" s="3">
        <v>0</v>
      </c>
      <c r="J27" s="10">
        <v>2</v>
      </c>
      <c r="K27" s="26">
        <f t="shared" si="26"/>
        <v>15000</v>
      </c>
      <c r="L27" s="26">
        <f t="shared" si="27"/>
        <v>30000</v>
      </c>
      <c r="M27" s="3">
        <f t="shared" si="24"/>
        <v>4500</v>
      </c>
      <c r="N27" s="33">
        <f t="shared" si="28"/>
        <v>-8000</v>
      </c>
      <c r="O27" s="33">
        <f t="shared" si="23"/>
        <v>45000</v>
      </c>
      <c r="P27" s="33">
        <f t="shared" si="29"/>
        <v>45000</v>
      </c>
      <c r="Q27" s="3">
        <f t="shared" si="11"/>
        <v>70142.857142857145</v>
      </c>
      <c r="R27" s="3">
        <f>-(B27-F27-SUM(I21:I27))</f>
        <v>-180000</v>
      </c>
      <c r="S27" s="3">
        <f t="shared" si="19"/>
        <v>-129857.14285714286</v>
      </c>
      <c r="T27" t="s">
        <v>10</v>
      </c>
    </row>
    <row r="28" spans="1:20" x14ac:dyDescent="0.25">
      <c r="A28" s="11"/>
      <c r="B28" s="4"/>
      <c r="C28" s="4"/>
      <c r="D28" s="3"/>
      <c r="E28" s="3"/>
      <c r="F28" s="3"/>
      <c r="G28" s="10"/>
      <c r="H28" s="10"/>
      <c r="I28" s="3"/>
      <c r="J28" s="10"/>
      <c r="K28" s="3"/>
      <c r="L28" s="3"/>
      <c r="M28" s="3"/>
      <c r="N28" s="3"/>
      <c r="O28" s="3"/>
      <c r="P28" s="3"/>
      <c r="Q28" s="3"/>
      <c r="R28" s="3"/>
      <c r="S28" s="3"/>
    </row>
    <row r="29" spans="1:20" x14ac:dyDescent="0.25">
      <c r="A29" s="20"/>
      <c r="B29" s="21" t="s">
        <v>50</v>
      </c>
      <c r="C29" s="21" t="s">
        <v>71</v>
      </c>
      <c r="D29" s="3"/>
      <c r="E29" s="3"/>
      <c r="F29" s="3"/>
      <c r="G29" s="10"/>
      <c r="H29" s="10"/>
      <c r="I29" s="3"/>
      <c r="J29" s="3"/>
      <c r="K29" s="3"/>
      <c r="L29" s="3"/>
      <c r="M29" s="3"/>
      <c r="N29" s="3"/>
      <c r="O29" s="3"/>
      <c r="P29" s="3"/>
      <c r="Q29" s="3"/>
      <c r="R29" s="3"/>
      <c r="S29" s="3"/>
    </row>
    <row r="30" spans="1:20" x14ac:dyDescent="0.25">
      <c r="A30" s="20" t="s">
        <v>33</v>
      </c>
      <c r="B30" s="22">
        <v>3</v>
      </c>
      <c r="C30" s="22">
        <v>3</v>
      </c>
      <c r="D30" s="3"/>
      <c r="E30" s="3"/>
      <c r="F30" s="3"/>
      <c r="G30" s="10"/>
      <c r="H30" s="10"/>
      <c r="I30" s="3"/>
      <c r="J30" s="3"/>
      <c r="K30" s="3"/>
      <c r="L30" s="3"/>
      <c r="M30" s="3"/>
      <c r="N30" s="3"/>
      <c r="O30" s="3"/>
      <c r="P30" s="3"/>
      <c r="Q30" s="3"/>
      <c r="R30" s="3"/>
      <c r="S30" s="3"/>
    </row>
    <row r="31" spans="1:20" x14ac:dyDescent="0.25">
      <c r="A31" s="20" t="s">
        <v>34</v>
      </c>
      <c r="B31" s="22">
        <v>9</v>
      </c>
      <c r="C31" s="22"/>
      <c r="D31" s="3"/>
      <c r="E31" s="3"/>
      <c r="F31" s="3"/>
      <c r="G31" s="10"/>
      <c r="H31" s="10"/>
      <c r="I31" s="3"/>
      <c r="J31" s="3"/>
      <c r="K31" s="3"/>
      <c r="L31" s="3"/>
      <c r="M31" s="3"/>
      <c r="N31" s="3"/>
      <c r="O31" s="3"/>
      <c r="P31" s="3"/>
      <c r="Q31" s="3"/>
      <c r="R31" s="3"/>
      <c r="S31" s="3"/>
    </row>
    <row r="33" spans="1:1" s="2" customFormat="1" x14ac:dyDescent="0.25">
      <c r="A33" s="2" t="s">
        <v>7</v>
      </c>
    </row>
    <row r="34" spans="1:1" s="2" customFormat="1" x14ac:dyDescent="0.25"/>
    <row r="35" spans="1:1" s="2" customFormat="1" x14ac:dyDescent="0.25">
      <c r="A35" s="2" t="s">
        <v>30</v>
      </c>
    </row>
    <row r="36" spans="1:1" s="2" customFormat="1" x14ac:dyDescent="0.25">
      <c r="A36" s="2" t="s">
        <v>31</v>
      </c>
    </row>
    <row r="38" spans="1:1" x14ac:dyDescent="0.25">
      <c r="A38" s="2" t="s">
        <v>68</v>
      </c>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Original EAL</vt:lpstr>
      <vt:lpstr>Proposed EAL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Shams Siddiqi</dc:creator>
  <cp:lastModifiedBy>Zapanta, Zaldy</cp:lastModifiedBy>
  <dcterms:created xsi:type="dcterms:W3CDTF">2022-01-19T12:48:21Z</dcterms:created>
  <dcterms:modified xsi:type="dcterms:W3CDTF">2022-02-15T19:03:58Z</dcterms:modified>
</cp:coreProperties>
</file>