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presentations\"/>
    </mc:Choice>
  </mc:AlternateContent>
  <bookViews>
    <workbookView xWindow="28680" yWindow="-105" windowWidth="29040" windowHeight="15990" activeTab="1"/>
  </bookViews>
  <sheets>
    <sheet name="Example 1 (HSL)" sheetId="4" r:id="rId1"/>
    <sheet name="Example 1 (CS)" sheetId="9" r:id="rId2"/>
    <sheet name="Example 2 (LSL)" sheetId="8" r:id="rId3"/>
    <sheet name="Example 2 (CS)" sheetId="10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0" l="1"/>
  <c r="B29" i="10"/>
  <c r="C29" i="9"/>
  <c r="B29" i="9"/>
  <c r="C28" i="10"/>
  <c r="C30" i="10" s="1"/>
  <c r="B28" i="10"/>
  <c r="B30" i="10" s="1"/>
  <c r="C30" i="9"/>
  <c r="B30" i="9"/>
  <c r="C28" i="9"/>
  <c r="B28" i="9"/>
  <c r="C13" i="10" l="1"/>
  <c r="C14" i="10" s="1"/>
  <c r="C24" i="10" s="1"/>
  <c r="B13" i="10"/>
  <c r="C10" i="10"/>
  <c r="B10" i="10"/>
  <c r="C13" i="9"/>
  <c r="C14" i="9" s="1"/>
  <c r="B13" i="9"/>
  <c r="C10" i="9"/>
  <c r="B10" i="9"/>
  <c r="B14" i="9" l="1"/>
  <c r="B24" i="9" s="1"/>
  <c r="B14" i="10"/>
  <c r="B24" i="10" s="1"/>
  <c r="C18" i="10"/>
  <c r="C23" i="10" s="1"/>
  <c r="C25" i="10" s="1"/>
  <c r="C24" i="9"/>
  <c r="C18" i="9"/>
  <c r="C23" i="9" s="1"/>
  <c r="C25" i="9" s="1"/>
  <c r="B18" i="9"/>
  <c r="B23" i="9" s="1"/>
  <c r="B25" i="9" s="1"/>
  <c r="B18" i="10" l="1"/>
  <c r="B23" i="10" s="1"/>
  <c r="B25" i="10" s="1"/>
  <c r="I31" i="8"/>
  <c r="J31" i="8"/>
  <c r="K31" i="8"/>
  <c r="I14" i="8" l="1"/>
  <c r="J14" i="8"/>
  <c r="K14" i="8"/>
  <c r="H14" i="8"/>
  <c r="H31" i="8"/>
  <c r="D18" i="8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O27" i="8" l="1"/>
  <c r="E18" i="8"/>
  <c r="G25" i="8" l="1"/>
  <c r="G8" i="8"/>
  <c r="K25" i="8" l="1"/>
  <c r="L25" i="8"/>
  <c r="K8" i="8"/>
  <c r="L8" i="8"/>
  <c r="I32" i="8" l="1"/>
  <c r="J32" i="8"/>
  <c r="K32" i="8"/>
  <c r="H32" i="8"/>
  <c r="I28" i="8"/>
  <c r="I34" i="8" s="1"/>
  <c r="J28" i="8"/>
  <c r="J34" i="8" s="1"/>
  <c r="K28" i="8"/>
  <c r="K34" i="8" s="1"/>
  <c r="H28" i="8"/>
  <c r="H34" i="8" s="1"/>
  <c r="M25" i="8"/>
  <c r="K11" i="8"/>
  <c r="K12" i="8" s="1"/>
  <c r="K13" i="8" s="1"/>
  <c r="J11" i="8"/>
  <c r="J12" i="8" s="1"/>
  <c r="J13" i="8" s="1"/>
  <c r="I11" i="8"/>
  <c r="I12" i="8" s="1"/>
  <c r="I13" i="8" s="1"/>
  <c r="M8" i="8"/>
  <c r="H11" i="8"/>
  <c r="H12" i="8" s="1"/>
  <c r="H13" i="8" s="1"/>
  <c r="O28" i="8" l="1"/>
  <c r="O29" i="8" s="1"/>
  <c r="O31" i="8" s="1"/>
  <c r="O36" i="8" s="1"/>
  <c r="O10" i="8"/>
  <c r="O12" i="8" s="1"/>
  <c r="O14" i="8" s="1"/>
  <c r="P31" i="8" l="1"/>
  <c r="O35" i="8"/>
  <c r="O37" i="8" s="1"/>
  <c r="P37" i="8" s="1"/>
  <c r="P14" i="8"/>
  <c r="K31" i="4" l="1"/>
  <c r="I31" i="4"/>
  <c r="J31" i="4"/>
  <c r="H31" i="4"/>
  <c r="I14" i="4"/>
  <c r="J14" i="4"/>
  <c r="K14" i="4"/>
  <c r="H14" i="4"/>
  <c r="D18" i="4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O27" i="4" l="1"/>
  <c r="E18" i="4"/>
  <c r="E9" i="4"/>
  <c r="G25" i="4" l="1"/>
  <c r="G8" i="4"/>
  <c r="L8" i="4" l="1"/>
  <c r="K8" i="4"/>
  <c r="L25" i="4"/>
  <c r="K25" i="4"/>
  <c r="H28" i="4" s="1"/>
  <c r="K28" i="4" l="1"/>
  <c r="I28" i="4"/>
  <c r="J28" i="4"/>
  <c r="H32" i="4"/>
  <c r="H34" i="4" s="1"/>
  <c r="K32" i="4"/>
  <c r="I32" i="4"/>
  <c r="J32" i="4"/>
  <c r="M25" i="4"/>
  <c r="K11" i="4"/>
  <c r="K12" i="4" s="1"/>
  <c r="K13" i="4" s="1"/>
  <c r="J11" i="4"/>
  <c r="J12" i="4" s="1"/>
  <c r="J13" i="4" s="1"/>
  <c r="M8" i="4"/>
  <c r="I11" i="4"/>
  <c r="I12" i="4" s="1"/>
  <c r="I13" i="4" s="1"/>
  <c r="H11" i="4"/>
  <c r="H12" i="4" s="1"/>
  <c r="H13" i="4" s="1"/>
  <c r="J34" i="4" l="1"/>
  <c r="I34" i="4"/>
  <c r="O28" i="4" s="1"/>
  <c r="O29" i="4" s="1"/>
  <c r="O31" i="4" s="1"/>
  <c r="P31" i="4" s="1"/>
  <c r="K34" i="4"/>
  <c r="O10" i="4"/>
  <c r="O12" i="4" s="1"/>
  <c r="O14" i="4" s="1"/>
  <c r="O35" i="4" s="1"/>
  <c r="P14" i="4" l="1"/>
  <c r="O36" i="4"/>
  <c r="O37" i="4" s="1"/>
  <c r="P37" i="4" l="1"/>
</calcChain>
</file>

<file path=xl/sharedStrings.xml><?xml version="1.0" encoding="utf-8"?>
<sst xmlns="http://schemas.openxmlformats.org/spreadsheetml/2006/main" count="236" uniqueCount="93">
  <si>
    <t>a</t>
  </si>
  <si>
    <t>b</t>
  </si>
  <si>
    <t>c</t>
  </si>
  <si>
    <t>d</t>
  </si>
  <si>
    <t>Points along the IHR Curve</t>
  </si>
  <si>
    <r>
      <t>Output Level</t>
    </r>
    <r>
      <rPr>
        <b/>
        <vertAlign val="superscript"/>
        <sz val="10"/>
        <rFont val="Arial"/>
        <family val="2"/>
      </rPr>
      <t>(1)</t>
    </r>
  </si>
  <si>
    <t>MW</t>
  </si>
  <si>
    <t>MMBtu/MWh</t>
  </si>
  <si>
    <t xml:space="preserve"> Point 1</t>
  </si>
  <si>
    <t xml:space="preserve"> Point 2</t>
  </si>
  <si>
    <t xml:space="preserve"> Point 3</t>
  </si>
  <si>
    <t xml:space="preserve"> Point 4</t>
  </si>
  <si>
    <t xml:space="preserve"> Point 5</t>
  </si>
  <si>
    <t xml:space="preserve"> Point 6</t>
  </si>
  <si>
    <t xml:space="preserve"> Point 7</t>
  </si>
  <si>
    <t xml:space="preserve"> Point 8</t>
  </si>
  <si>
    <t xml:space="preserve"> Point 9</t>
  </si>
  <si>
    <t xml:space="preserve"> Point 10</t>
  </si>
  <si>
    <t>AHR</t>
  </si>
  <si>
    <t xml:space="preserve">                    Input-Output Curve Coefficients</t>
  </si>
  <si>
    <t>WAFP ($/MMBtu)</t>
  </si>
  <si>
    <t>Purchased Fuel 1 (MMBTU)</t>
  </si>
  <si>
    <t>Purchased Fuel 2 (MMBTU)</t>
  </si>
  <si>
    <t>Total Fuel Purchased (MMBtu)</t>
  </si>
  <si>
    <t>MMBtu</t>
  </si>
  <si>
    <t>Fuel Burned Required (1 Hour)</t>
  </si>
  <si>
    <t>MEP (MWh)</t>
  </si>
  <si>
    <t>RTMG (MWh)</t>
  </si>
  <si>
    <t xml:space="preserve">Interval </t>
  </si>
  <si>
    <t>int1</t>
  </si>
  <si>
    <t>int2</t>
  </si>
  <si>
    <t>int3</t>
  </si>
  <si>
    <t>int4</t>
  </si>
  <si>
    <t>RTSPP ($/MWh)</t>
  </si>
  <si>
    <t>AMC ($/MWh)</t>
  </si>
  <si>
    <t>LSL</t>
  </si>
  <si>
    <t>HSL</t>
  </si>
  <si>
    <t>Total Resource Payment</t>
  </si>
  <si>
    <t>Marginal Cost ($/MWh)</t>
  </si>
  <si>
    <t>Payments - Fuel Costs</t>
  </si>
  <si>
    <t>RT-hourly REV</t>
  </si>
  <si>
    <t>Price Paid 1 ($/MMBtu)</t>
  </si>
  <si>
    <t>Price Paid 2 ($/MMBtu)</t>
  </si>
  <si>
    <t>OPLAMT ($)</t>
  </si>
  <si>
    <t>Hourly OPLAMT</t>
  </si>
  <si>
    <t>Prior LCAP NPRR:</t>
  </si>
  <si>
    <t>After LCAP NPRR:</t>
  </si>
  <si>
    <t>Delta</t>
  </si>
  <si>
    <t>Total Fuel Cost 
($)</t>
  </si>
  <si>
    <t>COMPARISON OF FUEL COST NOT RECOVERED:</t>
  </si>
  <si>
    <t>EOC ($/MWh)</t>
  </si>
  <si>
    <t>Example 1: Fuel purchased to operate the Resource at HSL and dispatched to HSL</t>
  </si>
  <si>
    <t>Example 2: Fuel purchased to operate the Resource at HSL but SCED keeps the unit at LSL</t>
  </si>
  <si>
    <t>PRIOR TO LCAP PUCT order (FIP=$300/MMBtu, LCAP=50*FIP=$15,000/MWh):</t>
  </si>
  <si>
    <t>AFTER LCAP PUCT order (LCAP=$2,000/MMBtu):</t>
  </si>
  <si>
    <t>LCAPHASLADJ</t>
  </si>
  <si>
    <t>LCAP HASL at Adjustment Period</t>
  </si>
  <si>
    <t>RUCCPADJ</t>
  </si>
  <si>
    <t>RUC Capacity Purchase at Adjustment Period</t>
  </si>
  <si>
    <t>RUCCSADJ</t>
  </si>
  <si>
    <t>RUC Capacity Sale at Adjustment Period</t>
  </si>
  <si>
    <t>DAEP</t>
  </si>
  <si>
    <t>Day-Ahead Energy Purchase</t>
  </si>
  <si>
    <t>DAES</t>
  </si>
  <si>
    <t>Day-Ahead Energy Sale</t>
  </si>
  <si>
    <t>RTQQEPADJ</t>
  </si>
  <si>
    <t>QSE-to-QSE Energy Purchase at Adjustment Period</t>
  </si>
  <si>
    <t>RTQQESADJ</t>
  </si>
  <si>
    <t>QSE-to-QSE Energy Sale at Adjustment Period</t>
  </si>
  <si>
    <t>DCIMPADJ</t>
  </si>
  <si>
    <t>DC Tie Import at Adjustment Period</t>
  </si>
  <si>
    <t>LCAPCAP</t>
  </si>
  <si>
    <t>LCAP Capacity at Adjustment Period</t>
  </si>
  <si>
    <t>RTAML</t>
  </si>
  <si>
    <t>Real-Time Adjusted Metered Load</t>
  </si>
  <si>
    <t>RTAML * 4</t>
  </si>
  <si>
    <t>Real-Time Adjusted Metered Load * 4</t>
  </si>
  <si>
    <t>LCAPSF</t>
  </si>
  <si>
    <t>LCAP Shortfall</t>
  </si>
  <si>
    <t>LCAPSFTOT</t>
  </si>
  <si>
    <t>LCAP Shortfall Total</t>
  </si>
  <si>
    <t>LCAPSFRS</t>
  </si>
  <si>
    <t>LCAP Shortfall Ratio Share</t>
  </si>
  <si>
    <t>OPLPAMTTOT</t>
  </si>
  <si>
    <t>Operating Losses Total Payment</t>
  </si>
  <si>
    <t>OPLCAPTOT</t>
  </si>
  <si>
    <t>LCAPCSAMT--based on ratio share</t>
  </si>
  <si>
    <t>LCAPCSAMT--based on qse shortfall</t>
  </si>
  <si>
    <t>LCAPCSAMT--final</t>
  </si>
  <si>
    <t>LCAP Capacity-Short Amount</t>
  </si>
  <si>
    <t>Operating Losses Capacity Total (sum of RTMGs paid for losses)</t>
  </si>
  <si>
    <t>EOC = LCAP ($/MWh)</t>
  </si>
  <si>
    <t>Exelon Comments proposal: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</si>
</sst>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2" fillId="0" borderId="1" xfId="2" applyBorder="1" applyAlignment="1" applyProtection="1">
      <alignment horizontal="center"/>
      <protection locked="0"/>
    </xf>
    <xf numFmtId="0" fontId="3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0" xfId="1" applyFont="1"/>
    <xf numFmtId="0" fontId="0" fillId="5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44" fontId="0" fillId="0" borderId="0" xfId="0" applyNumberFormat="1"/>
    <xf numFmtId="0" fontId="0" fillId="5" borderId="1" xfId="0" applyFill="1" applyBorder="1"/>
    <xf numFmtId="44" fontId="0" fillId="5" borderId="1" xfId="0" applyNumberFormat="1" applyFill="1" applyBorder="1"/>
    <xf numFmtId="1" fontId="0" fillId="0" borderId="1" xfId="0" applyNumberFormat="1" applyFill="1" applyBorder="1"/>
    <xf numFmtId="0" fontId="0" fillId="6" borderId="5" xfId="0" applyFill="1" applyBorder="1"/>
    <xf numFmtId="0" fontId="6" fillId="2" borderId="0" xfId="0" applyFont="1" applyFill="1"/>
    <xf numFmtId="0" fontId="5" fillId="0" borderId="0" xfId="0" applyFont="1" applyAlignment="1"/>
    <xf numFmtId="165" fontId="0" fillId="5" borderId="1" xfId="0" applyNumberFormat="1" applyFill="1" applyBorder="1"/>
    <xf numFmtId="0" fontId="7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/>
    <xf numFmtId="0" fontId="5" fillId="0" borderId="6" xfId="0" applyFont="1" applyBorder="1" applyAlignment="1"/>
    <xf numFmtId="2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3" fillId="0" borderId="1" xfId="2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/>
    </xf>
    <xf numFmtId="1" fontId="2" fillId="0" borderId="1" xfId="2" applyNumberFormat="1" applyBorder="1" applyAlignment="1">
      <alignment horizontal="center"/>
    </xf>
    <xf numFmtId="0" fontId="0" fillId="0" borderId="9" xfId="0" applyBorder="1"/>
    <xf numFmtId="44" fontId="0" fillId="0" borderId="10" xfId="0" applyNumberFormat="1" applyBorder="1"/>
    <xf numFmtId="0" fontId="5" fillId="0" borderId="11" xfId="0" applyFont="1" applyBorder="1"/>
    <xf numFmtId="44" fontId="5" fillId="5" borderId="12" xfId="0" applyNumberFormat="1" applyFont="1" applyFill="1" applyBorder="1"/>
    <xf numFmtId="0" fontId="2" fillId="0" borderId="1" xfId="2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2" applyFont="1" applyFill="1" applyBorder="1" applyAlignment="1">
      <alignment horizontal="center" vertical="center" wrapText="1"/>
    </xf>
    <xf numFmtId="2" fontId="2" fillId="0" borderId="1" xfId="2" applyNumberFormat="1" applyFill="1" applyBorder="1" applyAlignment="1">
      <alignment horizontal="center"/>
    </xf>
    <xf numFmtId="1" fontId="2" fillId="0" borderId="1" xfId="2" applyNumberFormat="1" applyFill="1" applyBorder="1" applyAlignment="1">
      <alignment horizontal="center"/>
    </xf>
    <xf numFmtId="165" fontId="0" fillId="7" borderId="1" xfId="1" applyNumberFormat="1" applyFont="1" applyFill="1" applyBorder="1"/>
    <xf numFmtId="0" fontId="0" fillId="2" borderId="0" xfId="0" applyFill="1"/>
    <xf numFmtId="0" fontId="0" fillId="8" borderId="0" xfId="0" applyFill="1"/>
    <xf numFmtId="0" fontId="0" fillId="8" borderId="0" xfId="0" applyNumberFormat="1" applyFill="1"/>
    <xf numFmtId="8" fontId="0" fillId="0" borderId="0" xfId="0" applyNumberFormat="1"/>
    <xf numFmtId="8" fontId="0" fillId="8" borderId="0" xfId="0" applyNumberFormat="1" applyFill="1"/>
    <xf numFmtId="0" fontId="7" fillId="0" borderId="0" xfId="0" applyFont="1" applyAlignment="1">
      <alignment horizontal="center"/>
    </xf>
    <xf numFmtId="0" fontId="2" fillId="4" borderId="2" xfId="2" applyFill="1" applyBorder="1"/>
    <xf numFmtId="0" fontId="2" fillId="0" borderId="3" xfId="2" applyBorder="1"/>
    <xf numFmtId="0" fontId="2" fillId="0" borderId="4" xfId="2" applyBorder="1"/>
    <xf numFmtId="0" fontId="3" fillId="0" borderId="1" xfId="2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8" fillId="8" borderId="0" xfId="0" applyFont="1" applyFill="1"/>
  </cellXfs>
  <cellStyles count="3">
    <cellStyle name="Currency" xfId="1" builtinId="4"/>
    <cellStyle name="Normal" xfId="0" builtinId="0"/>
    <cellStyle name="Normal 2 2" xfId="2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7"/>
  <sheetViews>
    <sheetView workbookViewId="0">
      <selection activeCell="E29" sqref="E29"/>
    </sheetView>
  </sheetViews>
  <sheetFormatPr defaultRowHeight="15" x14ac:dyDescent="0.25"/>
  <cols>
    <col min="1" max="1" width="2.5703125" customWidth="1"/>
    <col min="3" max="3" width="7.5703125" bestFit="1" customWidth="1"/>
    <col min="4" max="4" width="12.28515625" bestFit="1" customWidth="1"/>
    <col min="5" max="5" width="17.28515625" customWidth="1"/>
    <col min="6" max="6" width="2.7109375" customWidth="1"/>
    <col min="7" max="7" width="22.140625" bestFit="1" customWidth="1"/>
    <col min="8" max="8" width="12" customWidth="1"/>
    <col min="9" max="9" width="17.28515625" customWidth="1"/>
    <col min="10" max="10" width="12.7109375" customWidth="1"/>
    <col min="11" max="11" width="11.85546875" customWidth="1"/>
    <col min="12" max="12" width="11.42578125" customWidth="1"/>
    <col min="13" max="13" width="15.7109375" customWidth="1"/>
    <col min="14" max="14" width="31.42578125" customWidth="1"/>
    <col min="15" max="15" width="13.5703125" customWidth="1"/>
    <col min="16" max="16" width="33.42578125" bestFit="1" customWidth="1"/>
    <col min="17" max="17" width="18" customWidth="1"/>
  </cols>
  <sheetData>
    <row r="1" spans="2:16" ht="18.75" x14ac:dyDescent="0.3">
      <c r="B1" s="42" t="s">
        <v>51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6" ht="9" customHeight="1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6" x14ac:dyDescent="0.25">
      <c r="B3" s="43" t="s">
        <v>19</v>
      </c>
      <c r="C3" s="44"/>
      <c r="D3" s="44"/>
      <c r="E3" s="45"/>
    </row>
    <row r="4" spans="2:16" x14ac:dyDescent="0.25">
      <c r="B4" s="31" t="s">
        <v>0</v>
      </c>
      <c r="C4" s="31" t="s">
        <v>1</v>
      </c>
      <c r="D4" s="31" t="s">
        <v>2</v>
      </c>
      <c r="E4" s="31" t="s">
        <v>3</v>
      </c>
    </row>
    <row r="5" spans="2:16" ht="15.75" x14ac:dyDescent="0.25">
      <c r="B5" s="1">
        <v>500</v>
      </c>
      <c r="C5" s="1">
        <v>4.95</v>
      </c>
      <c r="D5" s="1">
        <v>1.6199999999999999E-2</v>
      </c>
      <c r="E5" s="1">
        <v>2.5000000000000001E-3</v>
      </c>
      <c r="G5" s="14" t="s">
        <v>53</v>
      </c>
      <c r="H5" s="37"/>
      <c r="I5" s="37"/>
      <c r="J5" s="37"/>
      <c r="K5" s="37"/>
    </row>
    <row r="7" spans="2:16" ht="38.25" x14ac:dyDescent="0.25">
      <c r="B7" s="46" t="s">
        <v>4</v>
      </c>
      <c r="C7" s="24" t="s">
        <v>5</v>
      </c>
      <c r="D7" s="24" t="s">
        <v>18</v>
      </c>
      <c r="E7" s="24" t="s">
        <v>25</v>
      </c>
      <c r="G7" s="2" t="s">
        <v>21</v>
      </c>
      <c r="H7" s="2" t="s">
        <v>41</v>
      </c>
      <c r="I7" s="2" t="s">
        <v>22</v>
      </c>
      <c r="J7" s="2" t="s">
        <v>42</v>
      </c>
      <c r="K7" s="2" t="s">
        <v>20</v>
      </c>
      <c r="L7" s="2" t="s">
        <v>23</v>
      </c>
      <c r="M7" s="2" t="s">
        <v>48</v>
      </c>
    </row>
    <row r="8" spans="2:16" ht="18" customHeight="1" x14ac:dyDescent="0.25">
      <c r="B8" s="46"/>
      <c r="C8" s="24" t="s">
        <v>6</v>
      </c>
      <c r="D8" s="24" t="s">
        <v>7</v>
      </c>
      <c r="E8" s="24" t="s">
        <v>24</v>
      </c>
      <c r="G8" s="8">
        <f>+E18-100</f>
        <v>1093.0367437875</v>
      </c>
      <c r="H8" s="4">
        <v>400</v>
      </c>
      <c r="I8" s="4">
        <v>100</v>
      </c>
      <c r="J8" s="4">
        <v>250</v>
      </c>
      <c r="K8" s="21">
        <f>(H8*G8+J8*I8)/(G8+I8)</f>
        <v>387.42704273098923</v>
      </c>
      <c r="L8" s="8">
        <f>G8+I8</f>
        <v>1193.0367437875</v>
      </c>
      <c r="M8" s="22">
        <f>K8*L8</f>
        <v>462214.69751500001</v>
      </c>
    </row>
    <row r="9" spans="2:16" x14ac:dyDescent="0.25">
      <c r="B9" s="25" t="s">
        <v>8</v>
      </c>
      <c r="C9" s="26">
        <v>50</v>
      </c>
      <c r="D9" s="34">
        <f t="shared" ref="D9:D18" si="0">($B$5+$C$5*C9+C9*$D$5*$D$5+C9*$E$5*$E$5*$E$5)/C9</f>
        <v>14.950262455624999</v>
      </c>
      <c r="E9" s="35">
        <f t="shared" ref="E9:E18" si="1">C9*D9</f>
        <v>747.51312278124999</v>
      </c>
    </row>
    <row r="10" spans="2:16" x14ac:dyDescent="0.25">
      <c r="B10" s="25" t="s">
        <v>9</v>
      </c>
      <c r="C10" s="26">
        <v>60</v>
      </c>
      <c r="D10" s="34">
        <f t="shared" si="0"/>
        <v>13.283595788958333</v>
      </c>
      <c r="E10" s="35">
        <f t="shared" si="1"/>
        <v>797.01574733749999</v>
      </c>
      <c r="G10" s="6" t="s">
        <v>28</v>
      </c>
      <c r="H10" s="6" t="s">
        <v>29</v>
      </c>
      <c r="I10" s="6" t="s">
        <v>30</v>
      </c>
      <c r="J10" s="6" t="s">
        <v>31</v>
      </c>
      <c r="K10" s="6" t="s">
        <v>32</v>
      </c>
      <c r="N10" s="18" t="s">
        <v>40</v>
      </c>
      <c r="O10" s="23">
        <f>-1*(H13*H14+I13*I14+J13*J14+K13*K14)</f>
        <v>-462214.69751499995</v>
      </c>
    </row>
    <row r="11" spans="2:16" x14ac:dyDescent="0.25">
      <c r="B11" s="25" t="s">
        <v>10</v>
      </c>
      <c r="C11" s="26">
        <v>70</v>
      </c>
      <c r="D11" s="34">
        <f t="shared" si="0"/>
        <v>12.093119598482142</v>
      </c>
      <c r="E11" s="35">
        <f t="shared" si="1"/>
        <v>846.51837189374987</v>
      </c>
      <c r="G11" s="4" t="s">
        <v>38</v>
      </c>
      <c r="H11" s="8">
        <f>$D$18*$K$8</f>
        <v>3301.533553678571</v>
      </c>
      <c r="I11" s="8">
        <f t="shared" ref="I11:K11" si="2">$D$18*$K$8</f>
        <v>3301.533553678571</v>
      </c>
      <c r="J11" s="8">
        <f t="shared" si="2"/>
        <v>3301.533553678571</v>
      </c>
      <c r="K11" s="8">
        <f t="shared" si="2"/>
        <v>3301.533553678571</v>
      </c>
      <c r="N11" s="18" t="s">
        <v>44</v>
      </c>
      <c r="O11" s="23">
        <v>0</v>
      </c>
    </row>
    <row r="12" spans="2:16" x14ac:dyDescent="0.25">
      <c r="B12" s="25" t="s">
        <v>11</v>
      </c>
      <c r="C12" s="26">
        <v>80</v>
      </c>
      <c r="D12" s="34">
        <f t="shared" si="0"/>
        <v>11.200262455624999</v>
      </c>
      <c r="E12" s="35">
        <f t="shared" si="1"/>
        <v>896.02099644999998</v>
      </c>
      <c r="G12" s="4" t="s">
        <v>50</v>
      </c>
      <c r="H12" s="8">
        <f>H11</f>
        <v>3301.533553678571</v>
      </c>
      <c r="I12" s="8">
        <f>I11</f>
        <v>3301.533553678571</v>
      </c>
      <c r="J12" s="8">
        <f>J11</f>
        <v>3301.533553678571</v>
      </c>
      <c r="K12" s="8">
        <f>K11</f>
        <v>3301.533553678571</v>
      </c>
      <c r="N12" s="10" t="s">
        <v>37</v>
      </c>
      <c r="O12" s="16">
        <f>+O10+O11</f>
        <v>-462214.69751499995</v>
      </c>
    </row>
    <row r="13" spans="2:16" x14ac:dyDescent="0.25">
      <c r="B13" s="25" t="s">
        <v>12</v>
      </c>
      <c r="C13" s="26">
        <v>90</v>
      </c>
      <c r="D13" s="34">
        <f t="shared" si="0"/>
        <v>10.505818011180555</v>
      </c>
      <c r="E13" s="35">
        <f t="shared" si="1"/>
        <v>945.52362100624998</v>
      </c>
      <c r="G13" s="4" t="s">
        <v>33</v>
      </c>
      <c r="H13" s="8">
        <f>+H12</f>
        <v>3301.533553678571</v>
      </c>
      <c r="I13" s="8">
        <f t="shared" ref="I13:K13" si="3">+I12</f>
        <v>3301.533553678571</v>
      </c>
      <c r="J13" s="8">
        <f t="shared" si="3"/>
        <v>3301.533553678571</v>
      </c>
      <c r="K13" s="8">
        <f t="shared" si="3"/>
        <v>3301.533553678571</v>
      </c>
    </row>
    <row r="14" spans="2:16" x14ac:dyDescent="0.25">
      <c r="B14" s="25" t="s">
        <v>13</v>
      </c>
      <c r="C14" s="26">
        <v>100</v>
      </c>
      <c r="D14" s="34">
        <f t="shared" si="0"/>
        <v>9.9502624556249994</v>
      </c>
      <c r="E14" s="35">
        <f t="shared" si="1"/>
        <v>995.02624556249998</v>
      </c>
      <c r="G14" s="4" t="s">
        <v>27</v>
      </c>
      <c r="H14" s="3">
        <f>H17/4</f>
        <v>35</v>
      </c>
      <c r="I14" s="3">
        <f>I17/4</f>
        <v>35</v>
      </c>
      <c r="J14" s="3">
        <f>J17/4</f>
        <v>35</v>
      </c>
      <c r="K14" s="3">
        <f>K17/4</f>
        <v>35</v>
      </c>
      <c r="N14" s="10" t="s">
        <v>39</v>
      </c>
      <c r="O14" s="11">
        <f>O12+M8</f>
        <v>0</v>
      </c>
      <c r="P14" t="str">
        <f>+IF(O14&gt;0,"&lt;== Fuel cost not recovered","&lt;== Excess revenues above fuel cost")</f>
        <v>&lt;== Excess revenues above fuel cost</v>
      </c>
    </row>
    <row r="15" spans="2:16" x14ac:dyDescent="0.25">
      <c r="B15" s="25" t="s">
        <v>14</v>
      </c>
      <c r="C15" s="26">
        <v>110</v>
      </c>
      <c r="D15" s="34">
        <f t="shared" si="0"/>
        <v>9.4957170010795444</v>
      </c>
      <c r="E15" s="35">
        <f t="shared" si="1"/>
        <v>1044.5288701187499</v>
      </c>
    </row>
    <row r="16" spans="2:16" x14ac:dyDescent="0.25">
      <c r="B16" s="25" t="s">
        <v>15</v>
      </c>
      <c r="C16" s="26">
        <v>120</v>
      </c>
      <c r="D16" s="34">
        <f t="shared" si="0"/>
        <v>9.1169291222916673</v>
      </c>
      <c r="E16" s="35">
        <f t="shared" si="1"/>
        <v>1094.031494675</v>
      </c>
      <c r="G16" s="6" t="s">
        <v>35</v>
      </c>
      <c r="H16" s="12">
        <v>50</v>
      </c>
      <c r="I16" s="12">
        <v>50</v>
      </c>
      <c r="J16" s="12">
        <v>50</v>
      </c>
      <c r="K16" s="12">
        <v>50</v>
      </c>
      <c r="L16" s="5"/>
    </row>
    <row r="17" spans="1:22" x14ac:dyDescent="0.25">
      <c r="B17" s="25" t="s">
        <v>16</v>
      </c>
      <c r="C17" s="26">
        <v>130</v>
      </c>
      <c r="D17" s="34">
        <f t="shared" si="0"/>
        <v>8.7964163017788461</v>
      </c>
      <c r="E17" s="35">
        <f t="shared" si="1"/>
        <v>1143.5341192312501</v>
      </c>
      <c r="G17" s="6" t="s">
        <v>36</v>
      </c>
      <c r="H17" s="12">
        <v>140</v>
      </c>
      <c r="I17" s="12">
        <v>140</v>
      </c>
      <c r="J17" s="12">
        <v>140</v>
      </c>
      <c r="K17" s="12">
        <v>140</v>
      </c>
    </row>
    <row r="18" spans="1:22" x14ac:dyDescent="0.25">
      <c r="B18" s="25" t="s">
        <v>17</v>
      </c>
      <c r="C18" s="26">
        <v>140</v>
      </c>
      <c r="D18" s="34">
        <f t="shared" si="0"/>
        <v>8.5216910270535706</v>
      </c>
      <c r="E18" s="35">
        <f t="shared" si="1"/>
        <v>1193.0367437875</v>
      </c>
      <c r="M18" s="9"/>
    </row>
    <row r="19" spans="1:22" ht="9.75" customHeight="1" x14ac:dyDescent="0.25"/>
    <row r="20" spans="1:22" ht="4.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22" ht="8.1" customHeight="1" x14ac:dyDescent="0.25"/>
    <row r="22" spans="1:22" ht="15.75" x14ac:dyDescent="0.25">
      <c r="B22" s="19"/>
      <c r="C22" s="19"/>
      <c r="D22" s="19"/>
      <c r="G22" s="14" t="s">
        <v>54</v>
      </c>
      <c r="H22" s="37"/>
      <c r="I22" s="37"/>
    </row>
    <row r="23" spans="1:22" ht="8.1" customHeight="1" x14ac:dyDescent="0.25">
      <c r="A23" s="19"/>
      <c r="B23" s="19"/>
      <c r="C23" s="19"/>
      <c r="D23" s="19"/>
      <c r="E23" s="19"/>
    </row>
    <row r="24" spans="1:22" ht="38.25" x14ac:dyDescent="0.25">
      <c r="A24" s="19"/>
      <c r="B24" s="19"/>
      <c r="C24" s="19"/>
      <c r="D24" s="19"/>
      <c r="E24" s="19"/>
      <c r="G24" s="2" t="s">
        <v>21</v>
      </c>
      <c r="H24" s="2" t="s">
        <v>41</v>
      </c>
      <c r="I24" s="2" t="s">
        <v>22</v>
      </c>
      <c r="J24" s="2" t="s">
        <v>42</v>
      </c>
      <c r="K24" s="2" t="s">
        <v>20</v>
      </c>
      <c r="L24" s="2" t="s">
        <v>23</v>
      </c>
      <c r="M24" s="2" t="s">
        <v>48</v>
      </c>
      <c r="R24" s="15"/>
      <c r="S24" s="15"/>
      <c r="T24" s="15"/>
      <c r="U24" s="15"/>
      <c r="V24" s="15"/>
    </row>
    <row r="25" spans="1:22" x14ac:dyDescent="0.25">
      <c r="A25" s="19"/>
      <c r="B25" s="19"/>
      <c r="C25" s="19"/>
      <c r="D25" s="19"/>
      <c r="E25" s="19"/>
      <c r="G25" s="8">
        <f>+E18-100</f>
        <v>1093.0367437875</v>
      </c>
      <c r="H25" s="3">
        <v>400</v>
      </c>
      <c r="I25" s="3">
        <v>100</v>
      </c>
      <c r="J25" s="3">
        <v>250</v>
      </c>
      <c r="K25" s="21">
        <f>(H25*G25+J25*I25)/(G25+I25)</f>
        <v>387.42704273098923</v>
      </c>
      <c r="L25" s="8">
        <f>G25+I25</f>
        <v>1193.0367437875</v>
      </c>
      <c r="M25" s="22">
        <f>K25*L25</f>
        <v>462214.69751500001</v>
      </c>
    </row>
    <row r="26" spans="1:22" ht="8.1" customHeight="1" x14ac:dyDescent="0.25">
      <c r="A26" s="19"/>
      <c r="B26" s="19"/>
      <c r="C26" s="19"/>
      <c r="D26" s="19"/>
      <c r="E26" s="19"/>
    </row>
    <row r="27" spans="1:22" x14ac:dyDescent="0.25">
      <c r="A27" s="19"/>
      <c r="B27" s="19"/>
      <c r="C27" s="19"/>
      <c r="D27" s="19"/>
      <c r="E27" s="19"/>
      <c r="G27" s="6" t="s">
        <v>28</v>
      </c>
      <c r="H27" s="6" t="s">
        <v>29</v>
      </c>
      <c r="I27" s="6" t="s">
        <v>30</v>
      </c>
      <c r="J27" s="6" t="s">
        <v>31</v>
      </c>
      <c r="K27" s="6" t="s">
        <v>32</v>
      </c>
      <c r="N27" s="18" t="s">
        <v>40</v>
      </c>
      <c r="O27" s="23">
        <f>-1*(H30*H31+I30*I31+J30*J31+K30*K31)</f>
        <v>-280000</v>
      </c>
    </row>
    <row r="28" spans="1:22" x14ac:dyDescent="0.25">
      <c r="A28" s="19"/>
      <c r="B28" s="19"/>
      <c r="C28" s="19"/>
      <c r="D28" s="19"/>
      <c r="E28" s="19"/>
      <c r="G28" s="4" t="s">
        <v>34</v>
      </c>
      <c r="H28" s="8">
        <f>+$D$18*$K$25</f>
        <v>3301.533553678571</v>
      </c>
      <c r="I28" s="8">
        <f t="shared" ref="I28:K28" si="4">+$D$18*$K$25</f>
        <v>3301.533553678571</v>
      </c>
      <c r="J28" s="8">
        <f t="shared" si="4"/>
        <v>3301.533553678571</v>
      </c>
      <c r="K28" s="8">
        <f t="shared" si="4"/>
        <v>3301.533553678571</v>
      </c>
      <c r="N28" s="18" t="s">
        <v>44</v>
      </c>
      <c r="O28" s="23">
        <f>+SUM(H34:K34)</f>
        <v>-182214.69751499995</v>
      </c>
    </row>
    <row r="29" spans="1:22" x14ac:dyDescent="0.25">
      <c r="A29" s="19"/>
      <c r="B29" s="19"/>
      <c r="C29" s="19"/>
      <c r="D29" s="19"/>
      <c r="E29" s="19"/>
      <c r="G29" s="4" t="s">
        <v>91</v>
      </c>
      <c r="H29" s="8">
        <v>2000</v>
      </c>
      <c r="I29" s="8">
        <v>2000</v>
      </c>
      <c r="J29" s="8">
        <v>2000</v>
      </c>
      <c r="K29" s="8">
        <v>2000</v>
      </c>
      <c r="N29" s="10" t="s">
        <v>37</v>
      </c>
      <c r="O29" s="16">
        <f>+O27+O28</f>
        <v>-462214.69751499995</v>
      </c>
    </row>
    <row r="30" spans="1:22" x14ac:dyDescent="0.25">
      <c r="A30" s="19"/>
      <c r="B30" s="19"/>
      <c r="C30" s="19"/>
      <c r="D30" s="19"/>
      <c r="E30" s="19"/>
      <c r="G30" s="4" t="s">
        <v>33</v>
      </c>
      <c r="H30" s="8">
        <v>2000</v>
      </c>
      <c r="I30" s="8">
        <v>2000</v>
      </c>
      <c r="J30" s="8">
        <v>2000</v>
      </c>
      <c r="K30" s="8">
        <v>2000</v>
      </c>
    </row>
    <row r="31" spans="1:22" x14ac:dyDescent="0.25">
      <c r="A31" s="19"/>
      <c r="B31" s="19"/>
      <c r="C31" s="19"/>
      <c r="D31" s="19"/>
      <c r="E31" s="19"/>
      <c r="G31" s="4" t="s">
        <v>27</v>
      </c>
      <c r="H31" s="7">
        <f>H37/4</f>
        <v>35</v>
      </c>
      <c r="I31" s="7">
        <f t="shared" ref="I31:J31" si="5">I37/4</f>
        <v>35</v>
      </c>
      <c r="J31" s="7">
        <f t="shared" si="5"/>
        <v>35</v>
      </c>
      <c r="K31" s="7">
        <f>K37/4</f>
        <v>35</v>
      </c>
      <c r="N31" s="10" t="s">
        <v>39</v>
      </c>
      <c r="O31" s="11">
        <f>O29+M25</f>
        <v>0</v>
      </c>
      <c r="P31" t="str">
        <f>+IF(O31&gt;0,"&lt;== Fuel cost not recovered","&lt;== Excess revenues above fuel cost")</f>
        <v>&lt;== Excess revenues above fuel cost</v>
      </c>
    </row>
    <row r="32" spans="1:22" x14ac:dyDescent="0.25">
      <c r="A32" s="19"/>
      <c r="B32" s="19"/>
      <c r="C32" s="19"/>
      <c r="D32" s="19"/>
      <c r="E32" s="19"/>
      <c r="G32" s="4" t="s">
        <v>26</v>
      </c>
      <c r="H32" s="7">
        <f>+$L$25/4/$D$18</f>
        <v>35</v>
      </c>
      <c r="I32" s="7">
        <f t="shared" ref="I32:K32" si="6">+$L$25/4/$D$18</f>
        <v>35</v>
      </c>
      <c r="J32" s="7">
        <f t="shared" si="6"/>
        <v>35</v>
      </c>
      <c r="K32" s="7">
        <f t="shared" si="6"/>
        <v>35</v>
      </c>
    </row>
    <row r="33" spans="1:16" ht="8.1" customHeight="1" thickBot="1" x14ac:dyDescent="0.3">
      <c r="A33" s="19"/>
      <c r="B33" s="19"/>
      <c r="C33" s="19"/>
      <c r="D33" s="19"/>
      <c r="E33" s="19"/>
    </row>
    <row r="34" spans="1:16" x14ac:dyDescent="0.25">
      <c r="A34" s="19"/>
      <c r="B34" s="19"/>
      <c r="C34" s="19"/>
      <c r="D34" s="19"/>
      <c r="E34" s="19"/>
      <c r="G34" s="6" t="s">
        <v>43</v>
      </c>
      <c r="H34" s="36">
        <f>-1*MAX(0,((H28-MAX(H30,H29))*MIN(H31,H32)))</f>
        <v>-45553.674378749987</v>
      </c>
      <c r="I34" s="36">
        <f t="shared" ref="I34:K34" si="7">-1*MAX(0,((I28-MAX(I30,I29))*MIN(I31,I32)))</f>
        <v>-45553.674378749987</v>
      </c>
      <c r="J34" s="36">
        <f t="shared" si="7"/>
        <v>-45553.674378749987</v>
      </c>
      <c r="K34" s="36">
        <f t="shared" si="7"/>
        <v>-45553.674378749987</v>
      </c>
      <c r="N34" s="47" t="s">
        <v>49</v>
      </c>
      <c r="O34" s="48"/>
    </row>
    <row r="35" spans="1:16" x14ac:dyDescent="0.25">
      <c r="A35" s="19"/>
      <c r="B35" s="19"/>
      <c r="C35" s="19"/>
      <c r="D35" s="19"/>
      <c r="E35" s="19"/>
      <c r="N35" s="27" t="s">
        <v>45</v>
      </c>
      <c r="O35" s="28">
        <f>+O14</f>
        <v>0</v>
      </c>
    </row>
    <row r="36" spans="1:16" x14ac:dyDescent="0.25">
      <c r="A36" s="19"/>
      <c r="B36" s="19"/>
      <c r="C36" s="19"/>
      <c r="D36" s="19"/>
      <c r="E36" s="19"/>
      <c r="G36" s="6" t="s">
        <v>35</v>
      </c>
      <c r="H36" s="12">
        <v>50</v>
      </c>
      <c r="I36" s="12">
        <v>50</v>
      </c>
      <c r="J36" s="12">
        <v>50</v>
      </c>
      <c r="K36" s="12">
        <v>50</v>
      </c>
      <c r="N36" s="27" t="s">
        <v>46</v>
      </c>
      <c r="O36" s="28">
        <f>+O31</f>
        <v>0</v>
      </c>
    </row>
    <row r="37" spans="1:16" ht="15.75" thickBot="1" x14ac:dyDescent="0.3">
      <c r="G37" s="6" t="s">
        <v>36</v>
      </c>
      <c r="H37" s="12">
        <v>140</v>
      </c>
      <c r="I37" s="12">
        <v>140</v>
      </c>
      <c r="J37" s="12">
        <v>140</v>
      </c>
      <c r="K37" s="12">
        <v>140</v>
      </c>
      <c r="N37" s="29" t="s">
        <v>47</v>
      </c>
      <c r="O37" s="30">
        <f>+O36-O35</f>
        <v>0</v>
      </c>
      <c r="P37" s="20" t="str">
        <f>IF(O37&lt;0,"&lt;== Reduced Exposure for recovering fuel cost","")</f>
        <v/>
      </c>
    </row>
  </sheetData>
  <protectedRanges>
    <protectedRange sqref="D9:E18 D26:D35" name="Range2"/>
    <protectedRange sqref="C9:E18 D26:D35" name="Range1_1"/>
    <protectedRange sqref="E26:E35" name="Range2_1_1"/>
    <protectedRange sqref="C26:C35 E26:E35" name="Range1_1_1_1"/>
  </protectedRanges>
  <mergeCells count="4">
    <mergeCell ref="B1:M1"/>
    <mergeCell ref="B3:E3"/>
    <mergeCell ref="B7:B8"/>
    <mergeCell ref="N34:O34"/>
  </mergeCells>
  <conditionalFormatting sqref="O37">
    <cfRule type="cellIs" dxfId="41" priority="15" operator="lessThan">
      <formula>0</formula>
    </cfRule>
    <cfRule type="cellIs" dxfId="40" priority="16" operator="greaterThan">
      <formula>0</formula>
    </cfRule>
    <cfRule type="cellIs" dxfId="39" priority="17" operator="lessThan">
      <formula>0</formula>
    </cfRule>
    <cfRule type="cellIs" dxfId="38" priority="18" operator="lessThan">
      <formula>302028.81</formula>
    </cfRule>
    <cfRule type="cellIs" dxfId="37" priority="19" operator="greaterThan">
      <formula>302028.81</formula>
    </cfRule>
    <cfRule type="cellIs" dxfId="36" priority="20" operator="lessThan">
      <formula>0</formula>
    </cfRule>
    <cfRule type="cellIs" dxfId="35" priority="21" operator="greaterThan">
      <formula>0</formula>
    </cfRule>
  </conditionalFormatting>
  <conditionalFormatting sqref="O14">
    <cfRule type="cellIs" dxfId="34" priority="8" operator="lessThan">
      <formula>0</formula>
    </cfRule>
    <cfRule type="cellIs" dxfId="33" priority="9" operator="greaterThan">
      <formula>0</formula>
    </cfRule>
    <cfRule type="cellIs" dxfId="32" priority="10" operator="lessThan">
      <formula>0</formula>
    </cfRule>
    <cfRule type="cellIs" dxfId="31" priority="11" operator="lessThan">
      <formula>302028.81</formula>
    </cfRule>
    <cfRule type="cellIs" dxfId="30" priority="12" operator="greaterThan">
      <formula>302028.81</formula>
    </cfRule>
    <cfRule type="cellIs" dxfId="29" priority="13" operator="lessThan">
      <formula>0</formula>
    </cfRule>
    <cfRule type="cellIs" dxfId="28" priority="14" operator="greaterThan">
      <formula>0</formula>
    </cfRule>
  </conditionalFormatting>
  <conditionalFormatting sqref="O31">
    <cfRule type="cellIs" dxfId="27" priority="1" operator="lessThan">
      <formula>0</formula>
    </cfRule>
    <cfRule type="cellIs" dxfId="26" priority="2" operator="greaterThan">
      <formula>0</formula>
    </cfRule>
    <cfRule type="cellIs" dxfId="25" priority="3" operator="lessThan">
      <formula>0</formula>
    </cfRule>
    <cfRule type="cellIs" dxfId="24" priority="4" operator="lessThan">
      <formula>302028.81</formula>
    </cfRule>
    <cfRule type="cellIs" dxfId="23" priority="5" operator="greaterThan">
      <formula>302028.81</formula>
    </cfRule>
    <cfRule type="cellIs" dxfId="22" priority="6" operator="lessThan">
      <formula>0</formula>
    </cfRule>
    <cfRule type="cellIs" dxfId="21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workbookViewId="0">
      <selection activeCell="A35" sqref="A35"/>
    </sheetView>
  </sheetViews>
  <sheetFormatPr defaultRowHeight="15" x14ac:dyDescent="0.25"/>
  <cols>
    <col min="1" max="1" width="33.140625" bestFit="1" customWidth="1"/>
    <col min="2" max="2" width="11.5703125" bestFit="1" customWidth="1"/>
    <col min="3" max="4" width="12" bestFit="1" customWidth="1"/>
    <col min="5" max="5" width="45.28515625" bestFit="1" customWidth="1"/>
    <col min="6" max="8" width="11.5703125" bestFit="1" customWidth="1"/>
    <col min="9" max="10" width="12" bestFit="1" customWidth="1"/>
    <col min="11" max="11" width="11.5703125" bestFit="1" customWidth="1"/>
    <col min="12" max="12" width="12" bestFit="1" customWidth="1"/>
    <col min="13" max="13" width="11.5703125" bestFit="1" customWidth="1"/>
    <col min="14" max="15" width="12" bestFit="1" customWidth="1"/>
    <col min="16" max="20" width="11.5703125" bestFit="1" customWidth="1"/>
    <col min="21" max="21" width="12.5703125" bestFit="1" customWidth="1"/>
    <col min="22" max="97" width="5.42578125" bestFit="1" customWidth="1"/>
  </cols>
  <sheetData>
    <row r="1" spans="1:5" x14ac:dyDescent="0.25">
      <c r="B1" t="s">
        <v>29</v>
      </c>
      <c r="C1" t="s">
        <v>30</v>
      </c>
    </row>
    <row r="2" spans="1:5" x14ac:dyDescent="0.25">
      <c r="A2" t="s">
        <v>55</v>
      </c>
      <c r="B2">
        <v>100</v>
      </c>
      <c r="C2">
        <v>100</v>
      </c>
      <c r="E2" t="s">
        <v>56</v>
      </c>
    </row>
    <row r="3" spans="1:5" x14ac:dyDescent="0.25">
      <c r="A3" t="s">
        <v>57</v>
      </c>
      <c r="B3">
        <v>10</v>
      </c>
      <c r="C3">
        <v>10</v>
      </c>
      <c r="E3" t="s">
        <v>58</v>
      </c>
    </row>
    <row r="4" spans="1:5" x14ac:dyDescent="0.25">
      <c r="A4" t="s">
        <v>59</v>
      </c>
      <c r="B4">
        <v>20</v>
      </c>
      <c r="C4">
        <v>20</v>
      </c>
      <c r="E4" t="s">
        <v>60</v>
      </c>
    </row>
    <row r="5" spans="1:5" x14ac:dyDescent="0.25">
      <c r="A5" t="s">
        <v>61</v>
      </c>
      <c r="B5">
        <v>15</v>
      </c>
      <c r="C5">
        <v>15</v>
      </c>
      <c r="E5" t="s">
        <v>62</v>
      </c>
    </row>
    <row r="6" spans="1:5" x14ac:dyDescent="0.25">
      <c r="A6" t="s">
        <v>63</v>
      </c>
      <c r="B6">
        <v>30</v>
      </c>
      <c r="C6">
        <v>30</v>
      </c>
      <c r="E6" t="s">
        <v>64</v>
      </c>
    </row>
    <row r="7" spans="1:5" x14ac:dyDescent="0.25">
      <c r="A7" t="s">
        <v>65</v>
      </c>
      <c r="B7">
        <v>25</v>
      </c>
      <c r="C7">
        <v>25</v>
      </c>
      <c r="E7" t="s">
        <v>66</v>
      </c>
    </row>
    <row r="8" spans="1:5" x14ac:dyDescent="0.25">
      <c r="A8" t="s">
        <v>67</v>
      </c>
      <c r="B8">
        <v>50</v>
      </c>
      <c r="C8">
        <v>50</v>
      </c>
      <c r="E8" t="s">
        <v>68</v>
      </c>
    </row>
    <row r="9" spans="1:5" x14ac:dyDescent="0.25">
      <c r="A9" t="s">
        <v>69</v>
      </c>
      <c r="B9">
        <v>10</v>
      </c>
      <c r="C9">
        <v>10</v>
      </c>
      <c r="E9" t="s">
        <v>70</v>
      </c>
    </row>
    <row r="10" spans="1:5" s="38" customFormat="1" x14ac:dyDescent="0.25">
      <c r="A10" s="38" t="s">
        <v>71</v>
      </c>
      <c r="B10" s="38">
        <f>B2+(B5-B6)+(B3-B4)+(B7-B8)+B9</f>
        <v>60</v>
      </c>
      <c r="C10" s="38">
        <f t="shared" ref="C10" si="0">C2+(C5-C6)+(C3-C4)+(C7-C8)+C9</f>
        <v>60</v>
      </c>
      <c r="E10" s="38" t="s">
        <v>72</v>
      </c>
    </row>
    <row r="12" spans="1:5" x14ac:dyDescent="0.25">
      <c r="A12" t="s">
        <v>73</v>
      </c>
      <c r="B12">
        <v>25</v>
      </c>
      <c r="C12">
        <v>25</v>
      </c>
      <c r="E12" t="s">
        <v>74</v>
      </c>
    </row>
    <row r="13" spans="1:5" x14ac:dyDescent="0.25">
      <c r="A13" t="s">
        <v>75</v>
      </c>
      <c r="B13">
        <f>B12*4</f>
        <v>100</v>
      </c>
      <c r="C13">
        <f t="shared" ref="C13" si="1">C12*4</f>
        <v>100</v>
      </c>
      <c r="E13" t="s">
        <v>76</v>
      </c>
    </row>
    <row r="14" spans="1:5" s="38" customFormat="1" x14ac:dyDescent="0.25">
      <c r="A14" s="38" t="s">
        <v>77</v>
      </c>
      <c r="B14" s="38">
        <f t="shared" ref="B14:C14" si="2">MAX(0,B13-B10)</f>
        <v>40</v>
      </c>
      <c r="C14" s="38">
        <f t="shared" si="2"/>
        <v>40</v>
      </c>
      <c r="E14" s="38" t="s">
        <v>78</v>
      </c>
    </row>
    <row r="17" spans="1:31" x14ac:dyDescent="0.25">
      <c r="A17" t="s">
        <v>79</v>
      </c>
      <c r="B17">
        <v>60</v>
      </c>
      <c r="C17">
        <v>60</v>
      </c>
      <c r="E17" t="s">
        <v>80</v>
      </c>
    </row>
    <row r="18" spans="1:31" s="38" customFormat="1" x14ac:dyDescent="0.25">
      <c r="A18" s="38" t="s">
        <v>81</v>
      </c>
      <c r="B18" s="39">
        <f>B14/B17</f>
        <v>0.66666666666666663</v>
      </c>
      <c r="C18" s="39">
        <f t="shared" ref="C18" si="3">C14/C17</f>
        <v>0.66666666666666663</v>
      </c>
      <c r="D18" s="39"/>
      <c r="E18" s="39" t="s">
        <v>82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21" spans="1:31" x14ac:dyDescent="0.25">
      <c r="A21" t="s">
        <v>83</v>
      </c>
      <c r="B21" s="40">
        <v>-45554</v>
      </c>
      <c r="C21" s="40">
        <v>-45554</v>
      </c>
      <c r="D21" s="40"/>
      <c r="E21" s="40" t="s">
        <v>84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1:31" x14ac:dyDescent="0.25">
      <c r="A22" t="s">
        <v>85</v>
      </c>
      <c r="B22">
        <v>35</v>
      </c>
      <c r="C22">
        <v>35</v>
      </c>
      <c r="E22" t="s">
        <v>90</v>
      </c>
    </row>
    <row r="23" spans="1:31" s="38" customFormat="1" x14ac:dyDescent="0.25">
      <c r="A23" s="38" t="s">
        <v>86</v>
      </c>
      <c r="B23" s="41">
        <f>B18*B21</f>
        <v>-30369.333333333332</v>
      </c>
      <c r="C23" s="41">
        <f t="shared" ref="C23" si="4">C18*C21</f>
        <v>-30369.333333333332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38" customFormat="1" x14ac:dyDescent="0.25">
      <c r="A24" s="38" t="s">
        <v>87</v>
      </c>
      <c r="B24" s="41">
        <f>(B14*(1/4))*B21/B22</f>
        <v>-13015.428571428571</v>
      </c>
      <c r="C24" s="41">
        <f t="shared" ref="C24" si="5">(C14*(1/4))*C21/C22</f>
        <v>-13015.428571428571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38" customFormat="1" x14ac:dyDescent="0.25">
      <c r="A25" s="38" t="s">
        <v>88</v>
      </c>
      <c r="B25" s="41">
        <f>(-1)*MAX(B23,B24)</f>
        <v>13015.428571428571</v>
      </c>
      <c r="C25" s="41">
        <f t="shared" ref="C25" si="6">(-1)*MAX(C23,C24)</f>
        <v>13015.428571428571</v>
      </c>
      <c r="D25" s="41"/>
      <c r="E25" s="41" t="s">
        <v>89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7" spans="1:31" x14ac:dyDescent="0.25">
      <c r="A27" s="49" t="s">
        <v>92</v>
      </c>
    </row>
    <row r="28" spans="1:31" x14ac:dyDescent="0.25">
      <c r="A28" s="38" t="s">
        <v>86</v>
      </c>
      <c r="B28" s="41">
        <f>B18*B21</f>
        <v>-30369.333333333332</v>
      </c>
      <c r="C28" s="41">
        <f>C18*C21</f>
        <v>-30369.333333333332</v>
      </c>
      <c r="D28" s="41"/>
      <c r="E28" s="41"/>
    </row>
    <row r="29" spans="1:31" x14ac:dyDescent="0.25">
      <c r="A29" s="38" t="s">
        <v>87</v>
      </c>
      <c r="B29" s="41">
        <f>(0.1*B14*(1/4))*B21/B22</f>
        <v>-1301.5428571428572</v>
      </c>
      <c r="C29" s="41">
        <f>(0.1*C14*(1/4))*C21/C22</f>
        <v>-1301.5428571428572</v>
      </c>
      <c r="D29" s="41"/>
      <c r="E29" s="41"/>
    </row>
    <row r="30" spans="1:31" x14ac:dyDescent="0.25">
      <c r="A30" s="38" t="s">
        <v>88</v>
      </c>
      <c r="B30" s="41">
        <f>(-1)*MAX(B28,B29)</f>
        <v>1301.5428571428572</v>
      </c>
      <c r="C30" s="41">
        <f t="shared" ref="C30" si="7">(-1)*MAX(C28,C29)</f>
        <v>1301.5428571428572</v>
      </c>
      <c r="D30" s="41"/>
      <c r="E30" s="4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C32" sqref="C32"/>
    </sheetView>
  </sheetViews>
  <sheetFormatPr defaultRowHeight="15" x14ac:dyDescent="0.25"/>
  <cols>
    <col min="1" max="1" width="2.5703125" customWidth="1"/>
    <col min="3" max="3" width="7.5703125" bestFit="1" customWidth="1"/>
    <col min="4" max="4" width="12.28515625" bestFit="1" customWidth="1"/>
    <col min="5" max="5" width="17.28515625" customWidth="1"/>
    <col min="6" max="6" width="2.7109375" customWidth="1"/>
    <col min="7" max="7" width="22.140625" bestFit="1" customWidth="1"/>
    <col min="8" max="8" width="12" customWidth="1"/>
    <col min="9" max="9" width="17.28515625" customWidth="1"/>
    <col min="10" max="10" width="12.7109375" customWidth="1"/>
    <col min="11" max="11" width="11.85546875" customWidth="1"/>
    <col min="12" max="12" width="11.42578125" customWidth="1"/>
    <col min="13" max="13" width="15.7109375" customWidth="1"/>
    <col min="14" max="14" width="31.42578125" customWidth="1"/>
    <col min="15" max="15" width="13.5703125" customWidth="1"/>
    <col min="16" max="16" width="42.7109375" bestFit="1" customWidth="1"/>
    <col min="17" max="17" width="18" customWidth="1"/>
  </cols>
  <sheetData>
    <row r="1" spans="2:16" ht="18.75" x14ac:dyDescent="0.3">
      <c r="B1" s="42" t="s">
        <v>52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6" ht="9" customHeight="1" x14ac:dyDescent="0.3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6" x14ac:dyDescent="0.25">
      <c r="B3" s="43" t="s">
        <v>19</v>
      </c>
      <c r="C3" s="44"/>
      <c r="D3" s="44"/>
      <c r="E3" s="45"/>
    </row>
    <row r="4" spans="2:16" x14ac:dyDescent="0.25">
      <c r="B4" s="31" t="s">
        <v>0</v>
      </c>
      <c r="C4" s="31" t="s">
        <v>1</v>
      </c>
      <c r="D4" s="31" t="s">
        <v>2</v>
      </c>
      <c r="E4" s="31" t="s">
        <v>3</v>
      </c>
    </row>
    <row r="5" spans="2:16" ht="15.75" x14ac:dyDescent="0.25">
      <c r="B5" s="1">
        <v>500</v>
      </c>
      <c r="C5" s="1">
        <v>4.95</v>
      </c>
      <c r="D5" s="1">
        <v>1.6199999999999999E-2</v>
      </c>
      <c r="E5" s="1">
        <v>2.5000000000000001E-3</v>
      </c>
      <c r="G5" s="14" t="s">
        <v>53</v>
      </c>
      <c r="H5" s="37"/>
      <c r="I5" s="37"/>
      <c r="J5" s="37"/>
      <c r="K5" s="37"/>
    </row>
    <row r="6" spans="2:16" ht="8.1" customHeight="1" x14ac:dyDescent="0.25"/>
    <row r="7" spans="2:16" ht="38.25" x14ac:dyDescent="0.25">
      <c r="B7" s="46" t="s">
        <v>4</v>
      </c>
      <c r="C7" s="33" t="s">
        <v>5</v>
      </c>
      <c r="D7" s="33" t="s">
        <v>18</v>
      </c>
      <c r="E7" s="33" t="s">
        <v>25</v>
      </c>
      <c r="G7" s="2" t="s">
        <v>21</v>
      </c>
      <c r="H7" s="2" t="s">
        <v>41</v>
      </c>
      <c r="I7" s="2" t="s">
        <v>22</v>
      </c>
      <c r="J7" s="2" t="s">
        <v>42</v>
      </c>
      <c r="K7" s="2" t="s">
        <v>20</v>
      </c>
      <c r="L7" s="2" t="s">
        <v>23</v>
      </c>
      <c r="M7" s="2" t="s">
        <v>48</v>
      </c>
    </row>
    <row r="8" spans="2:16" ht="18.75" customHeight="1" x14ac:dyDescent="0.25">
      <c r="B8" s="46"/>
      <c r="C8" s="33" t="s">
        <v>6</v>
      </c>
      <c r="D8" s="33" t="s">
        <v>7</v>
      </c>
      <c r="E8" s="33" t="s">
        <v>24</v>
      </c>
      <c r="G8" s="8">
        <f>+E18-100</f>
        <v>1093.0367437875</v>
      </c>
      <c r="H8" s="4">
        <v>400</v>
      </c>
      <c r="I8" s="4">
        <v>100</v>
      </c>
      <c r="J8" s="4">
        <v>250</v>
      </c>
      <c r="K8" s="21">
        <f>(H8*G8+J8*I8)/(G8+I8)</f>
        <v>387.42704273098923</v>
      </c>
      <c r="L8" s="8">
        <f>G8+I8</f>
        <v>1193.0367437875</v>
      </c>
      <c r="M8" s="22">
        <f>K8*L8</f>
        <v>462214.69751500001</v>
      </c>
    </row>
    <row r="9" spans="2:16" x14ac:dyDescent="0.25">
      <c r="B9" s="25" t="s">
        <v>8</v>
      </c>
      <c r="C9" s="26">
        <v>50</v>
      </c>
      <c r="D9" s="34">
        <f t="shared" ref="D9:D18" si="0">($B$5+$C$5*C9+C9*$D$5*$D$5+C9*$E$5*$E$5*$E$5)/C9</f>
        <v>14.950262455624999</v>
      </c>
      <c r="E9" s="35">
        <f t="shared" ref="E9:E18" si="1">C9*D9</f>
        <v>747.51312278124999</v>
      </c>
    </row>
    <row r="10" spans="2:16" x14ac:dyDescent="0.25">
      <c r="B10" s="25" t="s">
        <v>9</v>
      </c>
      <c r="C10" s="26">
        <v>60</v>
      </c>
      <c r="D10" s="34">
        <f t="shared" si="0"/>
        <v>13.283595788958333</v>
      </c>
      <c r="E10" s="35">
        <f t="shared" si="1"/>
        <v>797.01574733749999</v>
      </c>
      <c r="G10" s="6" t="s">
        <v>28</v>
      </c>
      <c r="H10" s="6" t="s">
        <v>29</v>
      </c>
      <c r="I10" s="6" t="s">
        <v>30</v>
      </c>
      <c r="J10" s="6" t="s">
        <v>31</v>
      </c>
      <c r="K10" s="6" t="s">
        <v>32</v>
      </c>
      <c r="N10" s="18" t="s">
        <v>40</v>
      </c>
      <c r="O10" s="23">
        <f>-1*(H13*H14+I13*I14+J13*J14+K13*K14)</f>
        <v>-165076.67768392854</v>
      </c>
    </row>
    <row r="11" spans="2:16" x14ac:dyDescent="0.25">
      <c r="B11" s="25" t="s">
        <v>10</v>
      </c>
      <c r="C11" s="26">
        <v>70</v>
      </c>
      <c r="D11" s="34">
        <f t="shared" si="0"/>
        <v>12.093119598482142</v>
      </c>
      <c r="E11" s="35">
        <f t="shared" si="1"/>
        <v>846.51837189374987</v>
      </c>
      <c r="G11" s="4" t="s">
        <v>38</v>
      </c>
      <c r="H11" s="8">
        <f>$D$18*$K$8</f>
        <v>3301.533553678571</v>
      </c>
      <c r="I11" s="8">
        <f t="shared" ref="I11:K11" si="2">$D$18*$K$8</f>
        <v>3301.533553678571</v>
      </c>
      <c r="J11" s="8">
        <f t="shared" si="2"/>
        <v>3301.533553678571</v>
      </c>
      <c r="K11" s="8">
        <f t="shared" si="2"/>
        <v>3301.533553678571</v>
      </c>
      <c r="N11" s="18" t="s">
        <v>44</v>
      </c>
      <c r="O11" s="23">
        <v>0</v>
      </c>
    </row>
    <row r="12" spans="2:16" x14ac:dyDescent="0.25">
      <c r="B12" s="25" t="s">
        <v>11</v>
      </c>
      <c r="C12" s="26">
        <v>80</v>
      </c>
      <c r="D12" s="34">
        <f t="shared" si="0"/>
        <v>11.200262455624999</v>
      </c>
      <c r="E12" s="35">
        <f t="shared" si="1"/>
        <v>896.02099644999998</v>
      </c>
      <c r="G12" s="4" t="s">
        <v>50</v>
      </c>
      <c r="H12" s="8">
        <f>H11</f>
        <v>3301.533553678571</v>
      </c>
      <c r="I12" s="8">
        <f>I11</f>
        <v>3301.533553678571</v>
      </c>
      <c r="J12" s="8">
        <f>J11</f>
        <v>3301.533553678571</v>
      </c>
      <c r="K12" s="8">
        <f>K11</f>
        <v>3301.533553678571</v>
      </c>
      <c r="N12" s="10" t="s">
        <v>37</v>
      </c>
      <c r="O12" s="16">
        <f>+O10+O11</f>
        <v>-165076.67768392854</v>
      </c>
    </row>
    <row r="13" spans="2:16" x14ac:dyDescent="0.25">
      <c r="B13" s="25" t="s">
        <v>12</v>
      </c>
      <c r="C13" s="26">
        <v>90</v>
      </c>
      <c r="D13" s="34">
        <f t="shared" si="0"/>
        <v>10.505818011180555</v>
      </c>
      <c r="E13" s="35">
        <f t="shared" si="1"/>
        <v>945.52362100624998</v>
      </c>
      <c r="G13" s="4" t="s">
        <v>33</v>
      </c>
      <c r="H13" s="8">
        <f>+H12</f>
        <v>3301.533553678571</v>
      </c>
      <c r="I13" s="8">
        <f t="shared" ref="I13:K13" si="3">+I12</f>
        <v>3301.533553678571</v>
      </c>
      <c r="J13" s="8">
        <f t="shared" si="3"/>
        <v>3301.533553678571</v>
      </c>
      <c r="K13" s="8">
        <f t="shared" si="3"/>
        <v>3301.533553678571</v>
      </c>
    </row>
    <row r="14" spans="2:16" x14ac:dyDescent="0.25">
      <c r="B14" s="25" t="s">
        <v>13</v>
      </c>
      <c r="C14" s="26">
        <v>100</v>
      </c>
      <c r="D14" s="34">
        <f t="shared" si="0"/>
        <v>9.9502624556249994</v>
      </c>
      <c r="E14" s="35">
        <f t="shared" si="1"/>
        <v>995.02624556249998</v>
      </c>
      <c r="G14" s="4" t="s">
        <v>27</v>
      </c>
      <c r="H14" s="3">
        <f>H16/4</f>
        <v>12.5</v>
      </c>
      <c r="I14" s="3">
        <f t="shared" ref="I14:K14" si="4">I16/4</f>
        <v>12.5</v>
      </c>
      <c r="J14" s="3">
        <f t="shared" si="4"/>
        <v>12.5</v>
      </c>
      <c r="K14" s="3">
        <f t="shared" si="4"/>
        <v>12.5</v>
      </c>
      <c r="N14" s="10" t="s">
        <v>39</v>
      </c>
      <c r="O14" s="11">
        <f>O12+M8</f>
        <v>297138.01983107149</v>
      </c>
      <c r="P14" t="str">
        <f>+IF(O14&gt;0,"&lt;== Fuel cost not recovered","&lt;== Excess revenues above fuel cost")</f>
        <v>&lt;== Fuel cost not recovered</v>
      </c>
    </row>
    <row r="15" spans="2:16" x14ac:dyDescent="0.25">
      <c r="B15" s="25" t="s">
        <v>14</v>
      </c>
      <c r="C15" s="26">
        <v>110</v>
      </c>
      <c r="D15" s="34">
        <f t="shared" si="0"/>
        <v>9.4957170010795444</v>
      </c>
      <c r="E15" s="35">
        <f t="shared" si="1"/>
        <v>1044.5288701187499</v>
      </c>
    </row>
    <row r="16" spans="2:16" x14ac:dyDescent="0.25">
      <c r="B16" s="25" t="s">
        <v>15</v>
      </c>
      <c r="C16" s="26">
        <v>120</v>
      </c>
      <c r="D16" s="34">
        <f t="shared" si="0"/>
        <v>9.1169291222916673</v>
      </c>
      <c r="E16" s="35">
        <f t="shared" si="1"/>
        <v>1094.031494675</v>
      </c>
      <c r="G16" s="6" t="s">
        <v>35</v>
      </c>
      <c r="H16" s="12">
        <v>50</v>
      </c>
      <c r="I16" s="12">
        <v>50</v>
      </c>
      <c r="J16" s="12">
        <v>50</v>
      </c>
      <c r="K16" s="12">
        <v>50</v>
      </c>
      <c r="L16" s="5"/>
    </row>
    <row r="17" spans="1:22" x14ac:dyDescent="0.25">
      <c r="B17" s="25" t="s">
        <v>16</v>
      </c>
      <c r="C17" s="26">
        <v>130</v>
      </c>
      <c r="D17" s="34">
        <f t="shared" si="0"/>
        <v>8.7964163017788461</v>
      </c>
      <c r="E17" s="35">
        <f t="shared" si="1"/>
        <v>1143.5341192312501</v>
      </c>
      <c r="G17" s="6" t="s">
        <v>36</v>
      </c>
      <c r="H17" s="12">
        <v>140</v>
      </c>
      <c r="I17" s="12">
        <v>140</v>
      </c>
      <c r="J17" s="12">
        <v>140</v>
      </c>
      <c r="K17" s="12">
        <v>140</v>
      </c>
    </row>
    <row r="18" spans="1:22" x14ac:dyDescent="0.25">
      <c r="B18" s="25" t="s">
        <v>17</v>
      </c>
      <c r="C18" s="26">
        <v>140</v>
      </c>
      <c r="D18" s="34">
        <f t="shared" si="0"/>
        <v>8.5216910270535706</v>
      </c>
      <c r="E18" s="35">
        <f t="shared" si="1"/>
        <v>1193.0367437875</v>
      </c>
      <c r="M18" s="9"/>
    </row>
    <row r="19" spans="1:22" ht="9.75" customHeight="1" x14ac:dyDescent="0.25"/>
    <row r="20" spans="1:22" ht="4.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22" ht="8.1" customHeight="1" x14ac:dyDescent="0.25"/>
    <row r="22" spans="1:22" ht="15.75" x14ac:dyDescent="0.25">
      <c r="B22" s="19"/>
      <c r="C22" s="19"/>
      <c r="D22" s="19"/>
      <c r="G22" s="14" t="s">
        <v>54</v>
      </c>
      <c r="H22" s="37"/>
      <c r="I22" s="37"/>
    </row>
    <row r="23" spans="1:22" ht="8.1" customHeight="1" x14ac:dyDescent="0.25">
      <c r="A23" s="19"/>
      <c r="B23" s="19"/>
      <c r="C23" s="19"/>
      <c r="D23" s="19"/>
      <c r="E23" s="19"/>
    </row>
    <row r="24" spans="1:22" ht="38.25" x14ac:dyDescent="0.25">
      <c r="A24" s="19"/>
      <c r="B24" s="19"/>
      <c r="C24" s="19"/>
      <c r="D24" s="19"/>
      <c r="E24" s="19"/>
      <c r="G24" s="2" t="s">
        <v>21</v>
      </c>
      <c r="H24" s="2" t="s">
        <v>41</v>
      </c>
      <c r="I24" s="2" t="s">
        <v>22</v>
      </c>
      <c r="J24" s="2" t="s">
        <v>42</v>
      </c>
      <c r="K24" s="2" t="s">
        <v>20</v>
      </c>
      <c r="L24" s="2" t="s">
        <v>23</v>
      </c>
      <c r="M24" s="2" t="s">
        <v>48</v>
      </c>
      <c r="R24" s="15"/>
      <c r="S24" s="15"/>
      <c r="T24" s="15"/>
      <c r="U24" s="15"/>
      <c r="V24" s="15"/>
    </row>
    <row r="25" spans="1:22" x14ac:dyDescent="0.25">
      <c r="A25" s="19"/>
      <c r="B25" s="19"/>
      <c r="C25" s="19"/>
      <c r="D25" s="19"/>
      <c r="E25" s="19"/>
      <c r="G25" s="8">
        <f>+E18-100</f>
        <v>1093.0367437875</v>
      </c>
      <c r="H25" s="3">
        <v>400</v>
      </c>
      <c r="I25" s="3">
        <v>100</v>
      </c>
      <c r="J25" s="3">
        <v>250</v>
      </c>
      <c r="K25" s="21">
        <f>(H25*G25+J25*I25)/(G25+I25)</f>
        <v>387.42704273098923</v>
      </c>
      <c r="L25" s="8">
        <f>G25+I25</f>
        <v>1193.0367437875</v>
      </c>
      <c r="M25" s="22">
        <f>K25*L25</f>
        <v>462214.69751500001</v>
      </c>
    </row>
    <row r="26" spans="1:22" ht="8.1" customHeight="1" x14ac:dyDescent="0.25">
      <c r="A26" s="19"/>
      <c r="B26" s="19"/>
      <c r="C26" s="19"/>
      <c r="D26" s="19"/>
      <c r="E26" s="19"/>
    </row>
    <row r="27" spans="1:22" x14ac:dyDescent="0.25">
      <c r="A27" s="19"/>
      <c r="B27" s="19"/>
      <c r="C27" s="19"/>
      <c r="D27" s="19"/>
      <c r="E27" s="19"/>
      <c r="G27" s="6" t="s">
        <v>28</v>
      </c>
      <c r="H27" s="6" t="s">
        <v>29</v>
      </c>
      <c r="I27" s="6" t="s">
        <v>30</v>
      </c>
      <c r="J27" s="6" t="s">
        <v>31</v>
      </c>
      <c r="K27" s="6" t="s">
        <v>32</v>
      </c>
      <c r="N27" s="18" t="s">
        <v>40</v>
      </c>
      <c r="O27" s="23">
        <f>-1*(H30*H31+I30*I31+J30*J31+K30*K31)</f>
        <v>-100000</v>
      </c>
    </row>
    <row r="28" spans="1:22" x14ac:dyDescent="0.25">
      <c r="A28" s="19"/>
      <c r="B28" s="19"/>
      <c r="C28" s="19"/>
      <c r="D28" s="19"/>
      <c r="E28" s="19"/>
      <c r="G28" s="4" t="s">
        <v>34</v>
      </c>
      <c r="H28" s="8">
        <f>+$D$9*$K$25</f>
        <v>5792.1359712349304</v>
      </c>
      <c r="I28" s="8">
        <f t="shared" ref="I28:K28" si="5">+$D$9*$K$25</f>
        <v>5792.1359712349304</v>
      </c>
      <c r="J28" s="8">
        <f t="shared" si="5"/>
        <v>5792.1359712349304</v>
      </c>
      <c r="K28" s="8">
        <f t="shared" si="5"/>
        <v>5792.1359712349304</v>
      </c>
      <c r="N28" s="18" t="s">
        <v>44</v>
      </c>
      <c r="O28" s="23">
        <f>+SUM(H34:K34)</f>
        <v>-189606.79856174652</v>
      </c>
    </row>
    <row r="29" spans="1:22" x14ac:dyDescent="0.25">
      <c r="A29" s="19"/>
      <c r="B29" s="19"/>
      <c r="C29" s="19"/>
      <c r="D29" s="19"/>
      <c r="E29" s="19"/>
      <c r="G29" s="4" t="s">
        <v>91</v>
      </c>
      <c r="H29" s="8">
        <v>2000</v>
      </c>
      <c r="I29" s="8">
        <v>2000</v>
      </c>
      <c r="J29" s="8">
        <v>2000</v>
      </c>
      <c r="K29" s="8">
        <v>2000</v>
      </c>
      <c r="N29" s="10" t="s">
        <v>37</v>
      </c>
      <c r="O29" s="16">
        <f>+O27+O28</f>
        <v>-289606.79856174649</v>
      </c>
    </row>
    <row r="30" spans="1:22" x14ac:dyDescent="0.25">
      <c r="A30" s="19"/>
      <c r="B30" s="19"/>
      <c r="C30" s="19"/>
      <c r="D30" s="19"/>
      <c r="E30" s="19"/>
      <c r="G30" s="4" t="s">
        <v>33</v>
      </c>
      <c r="H30" s="8">
        <v>2000</v>
      </c>
      <c r="I30" s="8">
        <v>2000</v>
      </c>
      <c r="J30" s="8">
        <v>2000</v>
      </c>
      <c r="K30" s="8">
        <v>2000</v>
      </c>
    </row>
    <row r="31" spans="1:22" x14ac:dyDescent="0.25">
      <c r="A31" s="19"/>
      <c r="B31" s="19"/>
      <c r="C31" s="19"/>
      <c r="D31" s="19"/>
      <c r="E31" s="19"/>
      <c r="G31" s="4" t="s">
        <v>27</v>
      </c>
      <c r="H31" s="3">
        <f>H36/4</f>
        <v>12.5</v>
      </c>
      <c r="I31" s="3">
        <f t="shared" ref="I31:K31" si="6">I36/4</f>
        <v>12.5</v>
      </c>
      <c r="J31" s="3">
        <f t="shared" si="6"/>
        <v>12.5</v>
      </c>
      <c r="K31" s="3">
        <f t="shared" si="6"/>
        <v>12.5</v>
      </c>
      <c r="N31" s="10" t="s">
        <v>39</v>
      </c>
      <c r="O31" s="11">
        <f>O29+M25</f>
        <v>172607.89895325352</v>
      </c>
      <c r="P31" t="str">
        <f>+IF(O31&gt;0,"&lt;== Fuel cost not recovered","&lt;== Excess revenues above fuel cost")</f>
        <v>&lt;== Fuel cost not recovered</v>
      </c>
    </row>
    <row r="32" spans="1:22" x14ac:dyDescent="0.25">
      <c r="A32" s="19"/>
      <c r="B32" s="19"/>
      <c r="C32" s="19"/>
      <c r="D32" s="19"/>
      <c r="E32" s="19"/>
      <c r="G32" s="4" t="s">
        <v>26</v>
      </c>
      <c r="H32" s="7">
        <f>+$L$25/4/$D$18</f>
        <v>35</v>
      </c>
      <c r="I32" s="7">
        <f t="shared" ref="I32:K32" si="7">+$L$25/4/$D$18</f>
        <v>35</v>
      </c>
      <c r="J32" s="7">
        <f t="shared" si="7"/>
        <v>35</v>
      </c>
      <c r="K32" s="7">
        <f t="shared" si="7"/>
        <v>35</v>
      </c>
    </row>
    <row r="33" spans="1:16" ht="8.1" customHeight="1" thickBot="1" x14ac:dyDescent="0.3">
      <c r="A33" s="19"/>
      <c r="B33" s="19"/>
      <c r="C33" s="19"/>
      <c r="D33" s="19"/>
      <c r="E33" s="19"/>
    </row>
    <row r="34" spans="1:16" x14ac:dyDescent="0.25">
      <c r="A34" s="19"/>
      <c r="B34" s="19"/>
      <c r="C34" s="19"/>
      <c r="D34" s="19"/>
      <c r="E34" s="19"/>
      <c r="G34" s="6" t="s">
        <v>43</v>
      </c>
      <c r="H34" s="36">
        <f>-1*MAX(0,((H28-MAX(H30,H29))*MIN(H31,H32)))</f>
        <v>-47401.699640436629</v>
      </c>
      <c r="I34" s="36">
        <f t="shared" ref="I34:K34" si="8">-1*MAX(0,((I28-MAX(I30,I29))*MIN(I31,I32)))</f>
        <v>-47401.699640436629</v>
      </c>
      <c r="J34" s="36">
        <f t="shared" si="8"/>
        <v>-47401.699640436629</v>
      </c>
      <c r="K34" s="36">
        <f t="shared" si="8"/>
        <v>-47401.699640436629</v>
      </c>
      <c r="N34" s="47" t="s">
        <v>49</v>
      </c>
      <c r="O34" s="48"/>
    </row>
    <row r="35" spans="1:16" x14ac:dyDescent="0.25">
      <c r="A35" s="19"/>
      <c r="B35" s="19"/>
      <c r="C35" s="19"/>
      <c r="D35" s="19"/>
      <c r="E35" s="19"/>
      <c r="N35" s="27" t="s">
        <v>45</v>
      </c>
      <c r="O35" s="28">
        <f>+O14</f>
        <v>297138.01983107149</v>
      </c>
    </row>
    <row r="36" spans="1:16" x14ac:dyDescent="0.25">
      <c r="A36" s="19"/>
      <c r="B36" s="19"/>
      <c r="C36" s="19"/>
      <c r="D36" s="19"/>
      <c r="E36" s="19"/>
      <c r="G36" s="6" t="s">
        <v>35</v>
      </c>
      <c r="H36" s="12">
        <v>50</v>
      </c>
      <c r="I36" s="12">
        <v>50</v>
      </c>
      <c r="J36" s="12">
        <v>50</v>
      </c>
      <c r="K36" s="12">
        <v>50</v>
      </c>
      <c r="N36" s="27" t="s">
        <v>46</v>
      </c>
      <c r="O36" s="28">
        <f>+O31</f>
        <v>172607.89895325352</v>
      </c>
    </row>
    <row r="37" spans="1:16" ht="15.75" thickBot="1" x14ac:dyDescent="0.3">
      <c r="G37" s="6" t="s">
        <v>36</v>
      </c>
      <c r="H37" s="12">
        <v>140</v>
      </c>
      <c r="I37" s="12">
        <v>140</v>
      </c>
      <c r="J37" s="12">
        <v>140</v>
      </c>
      <c r="K37" s="12">
        <v>140</v>
      </c>
      <c r="N37" s="29" t="s">
        <v>47</v>
      </c>
      <c r="O37" s="30">
        <f>+O36-O35</f>
        <v>-124530.12087781797</v>
      </c>
      <c r="P37" s="20" t="str">
        <f>IF(O37&lt;0,"&lt;== Reduced Exposure for recovering fuel cost","")</f>
        <v>&lt;== Reduced Exposure for recovering fuel cost</v>
      </c>
    </row>
  </sheetData>
  <protectedRanges>
    <protectedRange sqref="D9:E18 D26:D35" name="Range2"/>
    <protectedRange sqref="C9:E18 D26:D35" name="Range1_1"/>
    <protectedRange sqref="E26:E35" name="Range2_1_1"/>
    <protectedRange sqref="C26:C35 E26:E35" name="Range1_1_1_1"/>
  </protectedRanges>
  <mergeCells count="4">
    <mergeCell ref="B1:M1"/>
    <mergeCell ref="B3:E3"/>
    <mergeCell ref="B7:B8"/>
    <mergeCell ref="N34:O34"/>
  </mergeCells>
  <conditionalFormatting sqref="O37">
    <cfRule type="cellIs" dxfId="20" priority="22" operator="lessThan">
      <formula>0</formula>
    </cfRule>
    <cfRule type="cellIs" dxfId="19" priority="23" operator="greaterThan">
      <formula>0</formula>
    </cfRule>
    <cfRule type="cellIs" dxfId="18" priority="24" operator="lessThan">
      <formula>0</formula>
    </cfRule>
    <cfRule type="cellIs" dxfId="17" priority="25" operator="lessThan">
      <formula>302028.81</formula>
    </cfRule>
    <cfRule type="cellIs" dxfId="16" priority="26" operator="greaterThan">
      <formula>302028.81</formula>
    </cfRule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O14">
    <cfRule type="cellIs" dxfId="13" priority="15" operator="lessThan">
      <formula>0</formula>
    </cfRule>
    <cfRule type="cellIs" dxfId="12" priority="16" operator="greaterThan">
      <formula>0</formula>
    </cfRule>
    <cfRule type="cellIs" dxfId="11" priority="17" operator="lessThan">
      <formula>0</formula>
    </cfRule>
    <cfRule type="cellIs" dxfId="10" priority="18" operator="lessThan">
      <formula>302028.81</formula>
    </cfRule>
    <cfRule type="cellIs" dxfId="9" priority="19" operator="greaterThan">
      <formula>302028.81</formula>
    </cfRule>
    <cfRule type="cellIs" dxfId="8" priority="20" operator="lessThan">
      <formula>0</formula>
    </cfRule>
    <cfRule type="cellIs" dxfId="7" priority="21" operator="greaterThan">
      <formula>0</formula>
    </cfRule>
  </conditionalFormatting>
  <conditionalFormatting sqref="O31">
    <cfRule type="cellIs" dxfId="6" priority="8" operator="lessThan">
      <formula>0</formula>
    </cfRule>
    <cfRule type="cellIs" dxfId="5" priority="9" operator="greaterThan">
      <formula>0</formula>
    </cfRule>
    <cfRule type="cellIs" dxfId="4" priority="10" operator="lessThan">
      <formula>0</formula>
    </cfRule>
    <cfRule type="cellIs" dxfId="3" priority="11" operator="lessThan">
      <formula>302028.81</formula>
    </cfRule>
    <cfRule type="cellIs" dxfId="2" priority="12" operator="greaterThan">
      <formula>302028.81</formula>
    </cfRule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workbookViewId="0">
      <selection activeCell="A27" sqref="A27"/>
    </sheetView>
  </sheetViews>
  <sheetFormatPr defaultRowHeight="15" x14ac:dyDescent="0.25"/>
  <cols>
    <col min="1" max="1" width="33.140625" bestFit="1" customWidth="1"/>
    <col min="2" max="2" width="11.5703125" bestFit="1" customWidth="1"/>
    <col min="3" max="4" width="12" bestFit="1" customWidth="1"/>
    <col min="5" max="5" width="45.28515625" bestFit="1" customWidth="1"/>
    <col min="6" max="8" width="11.5703125" bestFit="1" customWidth="1"/>
    <col min="9" max="10" width="12" bestFit="1" customWidth="1"/>
    <col min="11" max="11" width="11.5703125" bestFit="1" customWidth="1"/>
    <col min="12" max="12" width="12" bestFit="1" customWidth="1"/>
    <col min="13" max="13" width="11.5703125" bestFit="1" customWidth="1"/>
    <col min="14" max="15" width="12" bestFit="1" customWidth="1"/>
    <col min="16" max="20" width="11.5703125" bestFit="1" customWidth="1"/>
    <col min="21" max="21" width="12.5703125" bestFit="1" customWidth="1"/>
    <col min="22" max="97" width="5.42578125" bestFit="1" customWidth="1"/>
  </cols>
  <sheetData>
    <row r="1" spans="1:5" x14ac:dyDescent="0.25">
      <c r="B1" t="s">
        <v>29</v>
      </c>
      <c r="C1" t="s">
        <v>30</v>
      </c>
    </row>
    <row r="2" spans="1:5" x14ac:dyDescent="0.25">
      <c r="A2" t="s">
        <v>55</v>
      </c>
      <c r="B2">
        <v>100</v>
      </c>
      <c r="C2">
        <v>100</v>
      </c>
      <c r="E2" t="s">
        <v>56</v>
      </c>
    </row>
    <row r="3" spans="1:5" x14ac:dyDescent="0.25">
      <c r="A3" t="s">
        <v>57</v>
      </c>
      <c r="B3">
        <v>10</v>
      </c>
      <c r="C3">
        <v>10</v>
      </c>
      <c r="E3" t="s">
        <v>58</v>
      </c>
    </row>
    <row r="4" spans="1:5" x14ac:dyDescent="0.25">
      <c r="A4" t="s">
        <v>59</v>
      </c>
      <c r="B4">
        <v>20</v>
      </c>
      <c r="C4">
        <v>20</v>
      </c>
      <c r="E4" t="s">
        <v>60</v>
      </c>
    </row>
    <row r="5" spans="1:5" x14ac:dyDescent="0.25">
      <c r="A5" t="s">
        <v>61</v>
      </c>
      <c r="B5">
        <v>15</v>
      </c>
      <c r="C5">
        <v>15</v>
      </c>
      <c r="E5" t="s">
        <v>62</v>
      </c>
    </row>
    <row r="6" spans="1:5" x14ac:dyDescent="0.25">
      <c r="A6" t="s">
        <v>63</v>
      </c>
      <c r="B6">
        <v>30</v>
      </c>
      <c r="C6">
        <v>30</v>
      </c>
      <c r="E6" t="s">
        <v>64</v>
      </c>
    </row>
    <row r="7" spans="1:5" x14ac:dyDescent="0.25">
      <c r="A7" t="s">
        <v>65</v>
      </c>
      <c r="B7">
        <v>25</v>
      </c>
      <c r="C7">
        <v>25</v>
      </c>
      <c r="E7" t="s">
        <v>66</v>
      </c>
    </row>
    <row r="8" spans="1:5" x14ac:dyDescent="0.25">
      <c r="A8" t="s">
        <v>67</v>
      </c>
      <c r="B8">
        <v>50</v>
      </c>
      <c r="C8">
        <v>50</v>
      </c>
      <c r="E8" t="s">
        <v>68</v>
      </c>
    </row>
    <row r="9" spans="1:5" x14ac:dyDescent="0.25">
      <c r="A9" t="s">
        <v>69</v>
      </c>
      <c r="B9">
        <v>10</v>
      </c>
      <c r="C9">
        <v>10</v>
      </c>
      <c r="E9" t="s">
        <v>70</v>
      </c>
    </row>
    <row r="10" spans="1:5" s="38" customFormat="1" x14ac:dyDescent="0.25">
      <c r="A10" s="38" t="s">
        <v>71</v>
      </c>
      <c r="B10" s="38">
        <f>B2+(B5-B6)+(B3-B4)+(B7-B8)+B9</f>
        <v>60</v>
      </c>
      <c r="C10" s="38">
        <f t="shared" ref="C10" si="0">C2+(C5-C6)+(C3-C4)+(C7-C8)+C9</f>
        <v>60</v>
      </c>
      <c r="E10" s="38" t="s">
        <v>72</v>
      </c>
    </row>
    <row r="12" spans="1:5" x14ac:dyDescent="0.25">
      <c r="A12" t="s">
        <v>73</v>
      </c>
      <c r="B12">
        <v>25</v>
      </c>
      <c r="C12">
        <v>25</v>
      </c>
      <c r="E12" t="s">
        <v>74</v>
      </c>
    </row>
    <row r="13" spans="1:5" x14ac:dyDescent="0.25">
      <c r="A13" t="s">
        <v>75</v>
      </c>
      <c r="B13">
        <f>B12*4</f>
        <v>100</v>
      </c>
      <c r="C13">
        <f t="shared" ref="C13" si="1">C12*4</f>
        <v>100</v>
      </c>
      <c r="E13" t="s">
        <v>76</v>
      </c>
    </row>
    <row r="14" spans="1:5" s="38" customFormat="1" x14ac:dyDescent="0.25">
      <c r="A14" s="38" t="s">
        <v>77</v>
      </c>
      <c r="B14" s="38">
        <f t="shared" ref="B14:C14" si="2">MAX(0,B13-B10)</f>
        <v>40</v>
      </c>
      <c r="C14" s="38">
        <f t="shared" si="2"/>
        <v>40</v>
      </c>
      <c r="E14" s="38" t="s">
        <v>78</v>
      </c>
    </row>
    <row r="17" spans="1:31" x14ac:dyDescent="0.25">
      <c r="A17" t="s">
        <v>79</v>
      </c>
      <c r="B17">
        <v>60</v>
      </c>
      <c r="C17">
        <v>60</v>
      </c>
      <c r="E17" t="s">
        <v>80</v>
      </c>
    </row>
    <row r="18" spans="1:31" s="38" customFormat="1" x14ac:dyDescent="0.25">
      <c r="A18" s="38" t="s">
        <v>81</v>
      </c>
      <c r="B18" s="39">
        <f>B14/B17</f>
        <v>0.66666666666666663</v>
      </c>
      <c r="C18" s="39">
        <f t="shared" ref="C18" si="3">C14/C17</f>
        <v>0.66666666666666663</v>
      </c>
      <c r="D18" s="39"/>
      <c r="E18" s="39" t="s">
        <v>82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21" spans="1:31" x14ac:dyDescent="0.25">
      <c r="A21" t="s">
        <v>83</v>
      </c>
      <c r="B21" s="40">
        <v>-47402</v>
      </c>
      <c r="C21" s="40">
        <v>-47402</v>
      </c>
      <c r="D21" s="40"/>
      <c r="E21" s="40" t="s">
        <v>84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1:31" x14ac:dyDescent="0.25">
      <c r="A22" t="s">
        <v>85</v>
      </c>
      <c r="B22">
        <v>12.5</v>
      </c>
      <c r="C22">
        <v>12.5</v>
      </c>
      <c r="E22" t="s">
        <v>90</v>
      </c>
    </row>
    <row r="23" spans="1:31" s="38" customFormat="1" x14ac:dyDescent="0.25">
      <c r="A23" s="38" t="s">
        <v>86</v>
      </c>
      <c r="B23" s="41">
        <f>B18*B21</f>
        <v>-31601.333333333332</v>
      </c>
      <c r="C23" s="41">
        <f t="shared" ref="C23" si="4">C18*C21</f>
        <v>-31601.333333333332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38" customFormat="1" x14ac:dyDescent="0.25">
      <c r="A24" s="38" t="s">
        <v>87</v>
      </c>
      <c r="B24" s="41">
        <f>(B14*(1/4))*B21/B22</f>
        <v>-37921.599999999999</v>
      </c>
      <c r="C24" s="41">
        <f t="shared" ref="C24" si="5">(C14*(1/4))*C21/C22</f>
        <v>-37921.599999999999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38" customFormat="1" x14ac:dyDescent="0.25">
      <c r="A25" s="38" t="s">
        <v>88</v>
      </c>
      <c r="B25" s="41">
        <f>(-1)*MAX(B23,B24)</f>
        <v>31601.333333333332</v>
      </c>
      <c r="C25" s="41">
        <f t="shared" ref="C25" si="6">(-1)*MAX(C23,C24)</f>
        <v>31601.333333333332</v>
      </c>
      <c r="D25" s="41"/>
      <c r="E25" s="41" t="s">
        <v>89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7" spans="1:31" x14ac:dyDescent="0.25">
      <c r="A27" s="49" t="s">
        <v>92</v>
      </c>
    </row>
    <row r="28" spans="1:31" x14ac:dyDescent="0.25">
      <c r="A28" s="38" t="s">
        <v>86</v>
      </c>
      <c r="B28" s="41">
        <f>B18*B21</f>
        <v>-31601.333333333332</v>
      </c>
      <c r="C28" s="41">
        <f>C18*C21</f>
        <v>-31601.333333333332</v>
      </c>
      <c r="D28" s="41"/>
      <c r="E28" s="41"/>
    </row>
    <row r="29" spans="1:31" x14ac:dyDescent="0.25">
      <c r="A29" s="38" t="s">
        <v>87</v>
      </c>
      <c r="B29" s="41">
        <f>(0.1*B14*(1/4))*B21/B22</f>
        <v>-3792.16</v>
      </c>
      <c r="C29" s="41">
        <f>(0.1*C14*(1/4))*C21/C22</f>
        <v>-3792.16</v>
      </c>
      <c r="D29" s="41"/>
      <c r="E29" s="41"/>
    </row>
    <row r="30" spans="1:31" x14ac:dyDescent="0.25">
      <c r="A30" s="38" t="s">
        <v>88</v>
      </c>
      <c r="B30" s="41">
        <f>(-1)*MAX(B28,B29)</f>
        <v>3792.16</v>
      </c>
      <c r="C30" s="41">
        <f t="shared" ref="C30" si="7">(-1)*MAX(C28,C29)</f>
        <v>3792.16</v>
      </c>
      <c r="D30" s="41"/>
      <c r="E30" s="41" t="s">
        <v>89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 (HSL)</vt:lpstr>
      <vt:lpstr>Example 1 (CS)</vt:lpstr>
      <vt:lpstr>Example 2 (LSL)</vt:lpstr>
      <vt:lpstr>Example 2 (CS)</vt:lpstr>
    </vt:vector>
  </TitlesOfParts>
  <Company>ERCOT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</dc:creator>
  <cp:lastModifiedBy>Pamela Shaw</cp:lastModifiedBy>
  <dcterms:created xsi:type="dcterms:W3CDTF">2021-07-16T09:22:10Z</dcterms:created>
  <dcterms:modified xsi:type="dcterms:W3CDTF">2021-07-21T15:18:41Z</dcterms:modified>
</cp:coreProperties>
</file>