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queryTables/queryTable1.xml" ContentType="application/vnd.openxmlformats-officedocument.spreadsheetml.queryTable+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xml"/>
  <Override PartName="/xl/ctrlProps/ctrlProp7.xml" ContentType="application/vnd.ms-excel.controlproperties+xml"/>
  <Override PartName="/xl/queryTables/queryTable2.xml" ContentType="application/vnd.openxmlformats-officedocument.spreadsheetml.queryTable+xml"/>
  <Override PartName="/xl/comments1.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ercot.com\departments\SystemPlanning\Resource Adequacy\Drought Monitoring and Generator Risk Assessment\2010-2015 Drought Retrospective Review\"/>
    </mc:Choice>
  </mc:AlternateContent>
  <bookViews>
    <workbookView xWindow="13020" yWindow="0" windowWidth="24240" windowHeight="13740"/>
  </bookViews>
  <sheets>
    <sheet name="README" sheetId="10" r:id="rId1"/>
    <sheet name="Drainage-Fed Reservoir" sheetId="2" r:id="rId2"/>
    <sheet name="Off-Channel Reservoir" sheetId="1" r:id="rId3"/>
  </sheets>
  <definedNames>
    <definedName name="_2000_11_01" localSheetId="1">'Drainage-Fed Reservoir'!$AR$4:$AU$194</definedName>
    <definedName name="_2000_11_01" localSheetId="2">'Off-Channel Reservoir'!$AI$1:$AL$156</definedName>
    <definedName name="Drought1" localSheetId="1">#REF!</definedName>
    <definedName name="Drought1" localSheetId="2">#REF!</definedName>
    <definedName name="Drought1">#REF!</definedName>
    <definedName name="Drought2" localSheetId="1">#REF!</definedName>
    <definedName name="Drought2" localSheetId="2">#REF!</definedName>
    <definedName name="Drought2">#REF!</definedName>
    <definedName name="Drought9">#REF!</definedName>
    <definedName name="_xlnm.Print_Area" localSheetId="1">'Drainage-Fed Reservoir'!$B$2:$U$59</definedName>
    <definedName name="_xlnm.Print_Area" localSheetId="2">'Off-Channel Reservoir'!$B$2:$U$58</definedName>
    <definedName name="_xlnm.Print_Area" localSheetId="0">README!$A$1:$P$25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6" i="2" l="1"/>
  <c r="AU6" i="2"/>
  <c r="AV6" i="2"/>
  <c r="AW6" i="2"/>
  <c r="AX6" i="2"/>
  <c r="AT7" i="2"/>
  <c r="AU7" i="2"/>
  <c r="AV7" i="2"/>
  <c r="AW7" i="2"/>
  <c r="AX7" i="2"/>
  <c r="AT8" i="2"/>
  <c r="AU8" i="2"/>
  <c r="AV8" i="2"/>
  <c r="AW8" i="2"/>
  <c r="AX8" i="2"/>
  <c r="AT9" i="2"/>
  <c r="AU9" i="2"/>
  <c r="AV9" i="2"/>
  <c r="AW9" i="2"/>
  <c r="AX9" i="2"/>
  <c r="AT10" i="2"/>
  <c r="AU10" i="2"/>
  <c r="AV10" i="2"/>
  <c r="AW10" i="2"/>
  <c r="AX10" i="2"/>
  <c r="AT11" i="2"/>
  <c r="AU11" i="2"/>
  <c r="AV11" i="2"/>
  <c r="AW11" i="2"/>
  <c r="AX11" i="2"/>
  <c r="AT12" i="2"/>
  <c r="AU12" i="2"/>
  <c r="AV12" i="2"/>
  <c r="AW12" i="2"/>
  <c r="AX12" i="2"/>
  <c r="AT13" i="2"/>
  <c r="AU13" i="2"/>
  <c r="AV13" i="2"/>
  <c r="AW13" i="2"/>
  <c r="AX13" i="2"/>
  <c r="AT14" i="2"/>
  <c r="AU14" i="2"/>
  <c r="AV14" i="2"/>
  <c r="AW14" i="2"/>
  <c r="AX14" i="2"/>
  <c r="AT15" i="2"/>
  <c r="AU15" i="2"/>
  <c r="AV15" i="2"/>
  <c r="AW15" i="2"/>
  <c r="AX15" i="2"/>
  <c r="AT16" i="2"/>
  <c r="AU16" i="2"/>
  <c r="AV16" i="2"/>
  <c r="AW16" i="2"/>
  <c r="AX16" i="2"/>
  <c r="AX5" i="2"/>
  <c r="AW5" i="2"/>
  <c r="AV5" i="2"/>
  <c r="AU5" i="2"/>
  <c r="AT5" i="2"/>
  <c r="T14" i="1" l="1"/>
  <c r="AP3" i="1"/>
  <c r="T15" i="1" l="1"/>
  <c r="AD5" i="1"/>
  <c r="AD6" i="1"/>
  <c r="AD7" i="1"/>
  <c r="AD8" i="1"/>
  <c r="AD9" i="1"/>
  <c r="AD10" i="1"/>
  <c r="AD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Z208" i="2" l="1"/>
  <c r="Z207" i="2"/>
  <c r="Z206" i="2"/>
  <c r="Z205" i="2"/>
  <c r="Z204" i="2"/>
  <c r="Z203" i="2"/>
  <c r="Z202" i="2"/>
  <c r="Z201" i="2"/>
  <c r="Z200" i="2"/>
  <c r="Z199" i="2"/>
  <c r="Z198" i="2"/>
  <c r="Z197" i="2"/>
  <c r="Z196" i="2"/>
  <c r="Z195" i="2"/>
  <c r="Z194" i="2"/>
  <c r="Z193" i="2"/>
  <c r="Z192" i="2"/>
  <c r="Z191" i="2"/>
  <c r="Z190" i="2"/>
  <c r="Z189" i="2"/>
  <c r="Z188" i="2"/>
  <c r="Z187" i="2"/>
  <c r="Z186" i="2"/>
  <c r="Z185" i="2"/>
  <c r="Z184" i="2"/>
  <c r="Z183" i="2"/>
  <c r="Z182" i="2"/>
  <c r="Z181" i="2"/>
  <c r="Z180" i="2"/>
  <c r="Z179" i="2"/>
  <c r="Z178" i="2"/>
  <c r="Z177" i="2"/>
  <c r="Z176" i="2"/>
  <c r="Z175" i="2"/>
  <c r="Z174" i="2"/>
  <c r="Z173" i="2"/>
  <c r="Z172" i="2"/>
  <c r="Z171" i="2"/>
  <c r="Z170" i="2"/>
  <c r="Z169" i="2"/>
  <c r="Z168" i="2"/>
  <c r="Z167" i="2"/>
  <c r="Z166" i="2"/>
  <c r="Z165" i="2"/>
  <c r="Z164" i="2"/>
  <c r="Z163" i="2"/>
  <c r="Z162" i="2"/>
  <c r="Z161" i="2"/>
  <c r="Z160" i="2"/>
  <c r="Z159" i="2"/>
  <c r="Z158" i="2"/>
  <c r="Z157" i="2"/>
  <c r="Z156" i="2"/>
  <c r="Z155" i="2"/>
  <c r="Z154" i="2"/>
  <c r="Z153" i="2"/>
  <c r="Z152" i="2"/>
  <c r="Z151" i="2"/>
  <c r="Z150" i="2"/>
  <c r="Z149" i="2"/>
  <c r="Z148" i="2"/>
  <c r="Z147" i="2"/>
  <c r="Z146" i="2"/>
  <c r="Z145" i="2"/>
  <c r="Z144" i="2"/>
  <c r="Z143" i="2"/>
  <c r="Z142" i="2"/>
  <c r="Z141" i="2"/>
  <c r="Z140" i="2"/>
  <c r="Z139" i="2"/>
  <c r="Z138" i="2"/>
  <c r="Z137" i="2"/>
  <c r="Z136" i="2"/>
  <c r="Z135" i="2"/>
  <c r="Z134" i="2"/>
  <c r="Z133" i="2"/>
  <c r="Z131" i="2"/>
  <c r="AA132" i="2" s="1"/>
  <c r="Z130" i="2"/>
  <c r="Z129" i="2"/>
  <c r="Z128" i="2"/>
  <c r="Z127" i="2"/>
  <c r="Z126" i="2"/>
  <c r="Z125" i="2"/>
  <c r="Z124" i="2"/>
  <c r="Z123" i="2"/>
  <c r="Z122" i="2"/>
  <c r="Z121" i="2"/>
  <c r="AA121" i="2" s="1"/>
  <c r="Z119" i="2"/>
  <c r="AA120" i="2" s="1"/>
  <c r="Z118" i="2"/>
  <c r="AA118" i="2" s="1"/>
  <c r="AA117" i="2"/>
  <c r="Z115" i="2"/>
  <c r="Z114" i="2"/>
  <c r="Z113" i="2"/>
  <c r="Z112" i="2"/>
  <c r="Z111" i="2"/>
  <c r="Z110" i="2"/>
  <c r="Z109" i="2"/>
  <c r="AA109" i="2" s="1"/>
  <c r="Z107" i="2"/>
  <c r="AA108" i="2" s="1"/>
  <c r="Z106" i="2"/>
  <c r="Z105" i="2"/>
  <c r="Z104" i="2"/>
  <c r="Z103" i="2"/>
  <c r="Z102" i="2"/>
  <c r="Z101" i="2"/>
  <c r="Z100" i="2"/>
  <c r="Z99" i="2"/>
  <c r="AA99" i="2" s="1"/>
  <c r="Z97" i="2"/>
  <c r="AA98" i="2" s="1"/>
  <c r="Z96" i="2"/>
  <c r="Z95" i="2"/>
  <c r="Z94" i="2"/>
  <c r="Z93" i="2"/>
  <c r="Z92" i="2"/>
  <c r="Z91" i="2"/>
  <c r="Z90" i="2"/>
  <c r="Z89" i="2"/>
  <c r="Z88" i="2"/>
  <c r="Z87" i="2"/>
  <c r="Z86" i="2"/>
  <c r="Z85" i="2"/>
  <c r="AA85" i="2" s="1"/>
  <c r="Z83" i="2"/>
  <c r="AA84" i="2" s="1"/>
  <c r="Z82" i="2"/>
  <c r="Z81" i="2"/>
  <c r="Z80" i="2"/>
  <c r="AA80" i="2" s="1"/>
  <c r="Z78" i="2"/>
  <c r="Z77" i="2"/>
  <c r="Z76" i="2"/>
  <c r="Z75" i="2"/>
  <c r="AA75" i="2" s="1"/>
  <c r="Z73" i="2"/>
  <c r="Z72" i="2"/>
  <c r="Z71" i="2"/>
  <c r="Z70" i="2"/>
  <c r="Z69" i="2"/>
  <c r="Z68" i="2"/>
  <c r="Z67" i="2"/>
  <c r="Z66" i="2"/>
  <c r="Z65" i="2"/>
  <c r="Z64" i="2"/>
  <c r="Z63" i="2"/>
  <c r="Z62" i="2"/>
  <c r="Z61" i="2"/>
  <c r="Z60" i="2"/>
  <c r="Z59" i="2"/>
  <c r="Z58" i="2"/>
  <c r="Z57" i="2"/>
  <c r="Z56" i="2"/>
  <c r="AA56" i="2" s="1"/>
  <c r="Z54" i="2"/>
  <c r="Z53" i="2"/>
  <c r="AD52" i="2"/>
  <c r="AE52" i="2" s="1"/>
  <c r="Z52" i="2"/>
  <c r="AD51" i="2"/>
  <c r="AE51" i="2" s="1"/>
  <c r="Z51" i="2"/>
  <c r="AD50" i="2"/>
  <c r="AE50" i="2" s="1"/>
  <c r="Z50" i="2"/>
  <c r="AD49" i="2"/>
  <c r="AE49" i="2" s="1"/>
  <c r="Z49" i="2"/>
  <c r="AA49" i="2" s="1"/>
  <c r="AD48" i="2"/>
  <c r="AE48" i="2" s="1"/>
  <c r="AD47" i="2"/>
  <c r="AE47" i="2" s="1"/>
  <c r="Z47" i="2"/>
  <c r="AA48" i="2" s="1"/>
  <c r="AD46" i="2"/>
  <c r="AE46" i="2" s="1"/>
  <c r="Z46" i="2"/>
  <c r="AD45" i="2"/>
  <c r="AE45" i="2" s="1"/>
  <c r="Z45" i="2"/>
  <c r="AD44" i="2"/>
  <c r="AE44" i="2" s="1"/>
  <c r="Z44" i="2"/>
  <c r="AD43" i="2"/>
  <c r="AE43" i="2" s="1"/>
  <c r="Z43" i="2"/>
  <c r="AD42" i="2"/>
  <c r="AE42" i="2" s="1"/>
  <c r="Z42" i="2"/>
  <c r="AD41" i="2"/>
  <c r="AE41" i="2" s="1"/>
  <c r="Z41" i="2"/>
  <c r="AD40" i="2"/>
  <c r="AE40" i="2" s="1"/>
  <c r="Z40" i="2"/>
  <c r="AD39" i="2"/>
  <c r="AE39" i="2" s="1"/>
  <c r="Z39" i="2"/>
  <c r="AD38" i="2"/>
  <c r="AE38" i="2" s="1"/>
  <c r="Z38" i="2"/>
  <c r="AD37" i="2"/>
  <c r="AE37" i="2" s="1"/>
  <c r="Z37" i="2"/>
  <c r="AA37" i="2" s="1"/>
  <c r="AD36" i="2"/>
  <c r="AE36" i="2" s="1"/>
  <c r="AD35" i="2"/>
  <c r="AE35" i="2" s="1"/>
  <c r="Z35" i="2"/>
  <c r="AD34" i="2"/>
  <c r="AE34" i="2" s="1"/>
  <c r="Z34" i="2"/>
  <c r="AD33" i="2"/>
  <c r="AE33" i="2" s="1"/>
  <c r="Z33" i="2"/>
  <c r="AD32" i="2"/>
  <c r="AE32" i="2" s="1"/>
  <c r="Z32" i="2"/>
  <c r="AA32" i="2" s="1"/>
  <c r="AD31" i="2"/>
  <c r="AE31" i="2" s="1"/>
  <c r="AD30" i="2"/>
  <c r="AE30" i="2" s="1"/>
  <c r="Z30" i="2"/>
  <c r="AD29" i="2"/>
  <c r="AE29" i="2" s="1"/>
  <c r="Z29" i="2"/>
  <c r="AD28" i="2"/>
  <c r="AE28" i="2" s="1"/>
  <c r="Z28" i="2"/>
  <c r="AD27" i="2"/>
  <c r="AE27" i="2" s="1"/>
  <c r="Z27" i="2"/>
  <c r="AD26" i="2"/>
  <c r="AE26" i="2" s="1"/>
  <c r="Z26" i="2"/>
  <c r="AD25" i="2"/>
  <c r="AE25" i="2" s="1"/>
  <c r="Z25" i="2"/>
  <c r="AD24" i="2"/>
  <c r="AE24" i="2" s="1"/>
  <c r="Z24" i="2"/>
  <c r="AD23" i="2"/>
  <c r="AE23" i="2" s="1"/>
  <c r="Z23" i="2"/>
  <c r="AD22" i="2"/>
  <c r="AE22" i="2" s="1"/>
  <c r="Z22" i="2"/>
  <c r="AD21" i="2"/>
  <c r="AE21" i="2" s="1"/>
  <c r="Z21" i="2"/>
  <c r="AD20" i="2"/>
  <c r="AE20" i="2" s="1"/>
  <c r="Z20" i="2"/>
  <c r="R19" i="2"/>
  <c r="AD19" i="2"/>
  <c r="AE19" i="2" s="1"/>
  <c r="Z19" i="2"/>
  <c r="AX18" i="2"/>
  <c r="AD18" i="2"/>
  <c r="AE18" i="2" s="1"/>
  <c r="Z18" i="2"/>
  <c r="AD17" i="2"/>
  <c r="AE17" i="2" s="1"/>
  <c r="Z17" i="2"/>
  <c r="AD16" i="2"/>
  <c r="AE16" i="2" s="1"/>
  <c r="Z16" i="2"/>
  <c r="AD15" i="2"/>
  <c r="AE15" i="2" s="1"/>
  <c r="Z15" i="2"/>
  <c r="AD14" i="2"/>
  <c r="AE14" i="2" s="1"/>
  <c r="Z14" i="2"/>
  <c r="AD13" i="2"/>
  <c r="AE13" i="2" s="1"/>
  <c r="Z13" i="2"/>
  <c r="AA13" i="2" s="1"/>
  <c r="AD12" i="2"/>
  <c r="AE12" i="2" s="1"/>
  <c r="Z12" i="2"/>
  <c r="AD11" i="2"/>
  <c r="AE11" i="2" s="1"/>
  <c r="Z11" i="2"/>
  <c r="AD10" i="2"/>
  <c r="AE10" i="2" s="1"/>
  <c r="Z10" i="2"/>
  <c r="AD9" i="2"/>
  <c r="AE9" i="2" s="1"/>
  <c r="Z9" i="2"/>
  <c r="S8" i="2"/>
  <c r="AD8" i="2"/>
  <c r="AE8" i="2" s="1"/>
  <c r="Z8" i="2"/>
  <c r="AA8" i="2" s="1"/>
  <c r="AD7" i="2"/>
  <c r="AE7" i="2" s="1"/>
  <c r="BA6" i="2"/>
  <c r="BA7" i="2" s="1"/>
  <c r="AD6" i="2"/>
  <c r="AE6" i="2" s="1"/>
  <c r="Z6" i="2"/>
  <c r="W6" i="2"/>
  <c r="W7" i="2" s="1"/>
  <c r="W8" i="2" s="1"/>
  <c r="W9" i="2" s="1"/>
  <c r="W10" i="2" s="1"/>
  <c r="W11" i="2" s="1"/>
  <c r="W12" i="2" s="1"/>
  <c r="W13" i="2" s="1"/>
  <c r="W14" i="2" s="1"/>
  <c r="W15" i="2" s="1"/>
  <c r="W16" i="2" s="1"/>
  <c r="W17" i="2" s="1"/>
  <c r="W18" i="2" s="1"/>
  <c r="W19" i="2" s="1"/>
  <c r="W20" i="2" s="1"/>
  <c r="W21" i="2" s="1"/>
  <c r="W22" i="2" s="1"/>
  <c r="W23" i="2" s="1"/>
  <c r="W24" i="2" s="1"/>
  <c r="W25" i="2" s="1"/>
  <c r="W26" i="2" s="1"/>
  <c r="W27" i="2" s="1"/>
  <c r="W28" i="2" s="1"/>
  <c r="W29" i="2" s="1"/>
  <c r="W30" i="2" s="1"/>
  <c r="W31" i="2" s="1"/>
  <c r="W32" i="2" s="1"/>
  <c r="W33" i="2" s="1"/>
  <c r="W34" i="2" s="1"/>
  <c r="W35" i="2" s="1"/>
  <c r="W36" i="2" s="1"/>
  <c r="W37" i="2" s="1"/>
  <c r="W38" i="2" s="1"/>
  <c r="W39" i="2" s="1"/>
  <c r="W40" i="2" s="1"/>
  <c r="W41" i="2" s="1"/>
  <c r="W42" i="2" s="1"/>
  <c r="W43" i="2" s="1"/>
  <c r="W44" i="2" s="1"/>
  <c r="W45" i="2" s="1"/>
  <c r="W46" i="2" s="1"/>
  <c r="W47" i="2" s="1"/>
  <c r="W48" i="2" s="1"/>
  <c r="W49" i="2" s="1"/>
  <c r="W50" i="2" s="1"/>
  <c r="W51" i="2" s="1"/>
  <c r="W52" i="2" s="1"/>
  <c r="W53" i="2" s="1"/>
  <c r="W54" i="2" s="1"/>
  <c r="W55" i="2" s="1"/>
  <c r="W56" i="2" s="1"/>
  <c r="W57" i="2" s="1"/>
  <c r="W58" i="2" s="1"/>
  <c r="W59" i="2" s="1"/>
  <c r="W60" i="2" s="1"/>
  <c r="W61" i="2" s="1"/>
  <c r="W62" i="2" s="1"/>
  <c r="W63" i="2" s="1"/>
  <c r="W64" i="2" s="1"/>
  <c r="W65" i="2" s="1"/>
  <c r="W66" i="2" s="1"/>
  <c r="W67" i="2" s="1"/>
  <c r="W68" i="2" s="1"/>
  <c r="W69" i="2" s="1"/>
  <c r="W70" i="2" s="1"/>
  <c r="W71" i="2" s="1"/>
  <c r="W72" i="2" s="1"/>
  <c r="W73" i="2" s="1"/>
  <c r="W74" i="2" s="1"/>
  <c r="W75" i="2" s="1"/>
  <c r="W76" i="2" s="1"/>
  <c r="W77" i="2" s="1"/>
  <c r="W78" i="2" s="1"/>
  <c r="W79" i="2" s="1"/>
  <c r="W80" i="2" s="1"/>
  <c r="W81" i="2" s="1"/>
  <c r="W82" i="2" s="1"/>
  <c r="W83" i="2" s="1"/>
  <c r="W84" i="2" s="1"/>
  <c r="W85" i="2" s="1"/>
  <c r="W86" i="2" s="1"/>
  <c r="W87" i="2" s="1"/>
  <c r="W88" i="2" s="1"/>
  <c r="W89" i="2" s="1"/>
  <c r="W90" i="2" s="1"/>
  <c r="W91" i="2" s="1"/>
  <c r="W92" i="2" s="1"/>
  <c r="W93" i="2" s="1"/>
  <c r="W94" i="2" s="1"/>
  <c r="W95" i="2" s="1"/>
  <c r="W96" i="2" s="1"/>
  <c r="W97" i="2" s="1"/>
  <c r="W98" i="2" s="1"/>
  <c r="W99" i="2" s="1"/>
  <c r="W100" i="2" s="1"/>
  <c r="W101" i="2" s="1"/>
  <c r="W102" i="2" s="1"/>
  <c r="W103" i="2" s="1"/>
  <c r="W104" i="2" s="1"/>
  <c r="W105" i="2" s="1"/>
  <c r="W106" i="2" s="1"/>
  <c r="W107" i="2" s="1"/>
  <c r="W108" i="2" s="1"/>
  <c r="W109" i="2" s="1"/>
  <c r="W110" i="2" s="1"/>
  <c r="W111" i="2" s="1"/>
  <c r="W112" i="2" s="1"/>
  <c r="W113" i="2" s="1"/>
  <c r="W114" i="2" s="1"/>
  <c r="W115" i="2" s="1"/>
  <c r="W116" i="2" s="1"/>
  <c r="W117" i="2" s="1"/>
  <c r="W118" i="2" s="1"/>
  <c r="W119" i="2" s="1"/>
  <c r="W120" i="2" s="1"/>
  <c r="W121" i="2" s="1"/>
  <c r="W122" i="2" s="1"/>
  <c r="W123" i="2" s="1"/>
  <c r="W124" i="2" s="1"/>
  <c r="W125" i="2" s="1"/>
  <c r="W126" i="2" s="1"/>
  <c r="W127" i="2" s="1"/>
  <c r="W128" i="2" s="1"/>
  <c r="W129" i="2" s="1"/>
  <c r="W130" i="2" s="1"/>
  <c r="W131" i="2" s="1"/>
  <c r="W132" i="2" s="1"/>
  <c r="W133" i="2" s="1"/>
  <c r="W134" i="2" s="1"/>
  <c r="W135" i="2" s="1"/>
  <c r="W136" i="2" s="1"/>
  <c r="W137" i="2" s="1"/>
  <c r="W138" i="2" s="1"/>
  <c r="W139" i="2" s="1"/>
  <c r="W140" i="2" s="1"/>
  <c r="W141" i="2" s="1"/>
  <c r="W142" i="2" s="1"/>
  <c r="W143" i="2" s="1"/>
  <c r="W144" i="2" s="1"/>
  <c r="W145" i="2" s="1"/>
  <c r="W146" i="2" s="1"/>
  <c r="W147" i="2" s="1"/>
  <c r="W148" i="2" s="1"/>
  <c r="W149" i="2" s="1"/>
  <c r="W150" i="2" s="1"/>
  <c r="W151" i="2" s="1"/>
  <c r="W152" i="2" s="1"/>
  <c r="W153" i="2" s="1"/>
  <c r="W154" i="2" s="1"/>
  <c r="W155" i="2" s="1"/>
  <c r="W156" i="2" s="1"/>
  <c r="W157" i="2" s="1"/>
  <c r="W158" i="2" s="1"/>
  <c r="W159" i="2" s="1"/>
  <c r="W160" i="2" s="1"/>
  <c r="W161" i="2" s="1"/>
  <c r="W162" i="2" s="1"/>
  <c r="W163" i="2" s="1"/>
  <c r="W164" i="2" s="1"/>
  <c r="W165" i="2" s="1"/>
  <c r="W166" i="2" s="1"/>
  <c r="W167" i="2" s="1"/>
  <c r="W168" i="2" s="1"/>
  <c r="W169" i="2" s="1"/>
  <c r="W170" i="2" s="1"/>
  <c r="W171" i="2" s="1"/>
  <c r="W172" i="2" s="1"/>
  <c r="W173" i="2" s="1"/>
  <c r="W174" i="2" s="1"/>
  <c r="W175" i="2" s="1"/>
  <c r="AD5" i="2"/>
  <c r="AE5" i="2" s="1"/>
  <c r="Z5" i="2"/>
  <c r="BC4" i="2"/>
  <c r="Z4" i="2"/>
  <c r="AE52" i="1"/>
  <c r="AE51" i="1"/>
  <c r="AE50" i="1"/>
  <c r="AE49" i="1"/>
  <c r="AE48" i="1"/>
  <c r="AE47" i="1"/>
  <c r="AE46" i="1"/>
  <c r="AE45" i="1"/>
  <c r="AE44" i="1"/>
  <c r="AE43" i="1"/>
  <c r="AE42" i="1"/>
  <c r="AE41" i="1"/>
  <c r="AE40" i="1"/>
  <c r="AE39" i="1"/>
  <c r="AE38" i="1"/>
  <c r="AE37" i="1"/>
  <c r="AE36" i="1"/>
  <c r="AE35" i="1"/>
  <c r="AE34" i="1"/>
  <c r="AE33" i="1"/>
  <c r="AE32" i="1"/>
  <c r="AE31" i="1"/>
  <c r="AE30" i="1"/>
  <c r="AE29" i="1"/>
  <c r="AE28" i="1"/>
  <c r="AE27" i="1"/>
  <c r="AE26" i="1"/>
  <c r="AE25" i="1"/>
  <c r="AE24" i="1"/>
  <c r="AE23" i="1"/>
  <c r="AE22" i="1"/>
  <c r="AE21" i="1"/>
  <c r="AE20" i="1"/>
  <c r="AE19" i="1"/>
  <c r="AE18" i="1"/>
  <c r="AE17" i="1"/>
  <c r="AE16" i="1"/>
  <c r="AE15" i="1"/>
  <c r="AE14" i="1"/>
  <c r="AE13" i="1"/>
  <c r="AE12" i="1"/>
  <c r="AE11" i="1"/>
  <c r="AE10" i="1"/>
  <c r="AE9" i="1"/>
  <c r="AE8" i="1"/>
  <c r="AE7" i="1"/>
  <c r="AE6" i="1"/>
  <c r="AE5" i="1"/>
  <c r="R21" i="1"/>
  <c r="AM19" i="1"/>
  <c r="AL19" i="1"/>
  <c r="AK19" i="1"/>
  <c r="T17" i="1"/>
  <c r="AM18" i="1"/>
  <c r="AL18" i="1"/>
  <c r="AK18" i="1"/>
  <c r="T16" i="1"/>
  <c r="AM17" i="1"/>
  <c r="AL17" i="1"/>
  <c r="AK17" i="1"/>
  <c r="R14" i="1"/>
  <c r="AM16" i="1"/>
  <c r="AL16" i="1"/>
  <c r="AK16" i="1"/>
  <c r="AM15" i="1"/>
  <c r="AL15" i="1"/>
  <c r="AK15" i="1"/>
  <c r="AM14" i="1"/>
  <c r="AL14" i="1"/>
  <c r="AK14" i="1"/>
  <c r="AM13" i="1"/>
  <c r="AL13" i="1"/>
  <c r="AK13" i="1"/>
  <c r="AM12" i="1"/>
  <c r="AL12" i="1"/>
  <c r="AK12" i="1"/>
  <c r="AM11" i="1"/>
  <c r="AL11" i="1"/>
  <c r="AK11" i="1"/>
  <c r="AM10" i="1"/>
  <c r="AL10" i="1"/>
  <c r="AK10" i="1"/>
  <c r="AM9" i="1"/>
  <c r="AL9" i="1"/>
  <c r="AK9" i="1"/>
  <c r="AM8" i="1"/>
  <c r="AL8" i="1"/>
  <c r="AK8" i="1"/>
  <c r="AM7" i="1"/>
  <c r="AL7" i="1"/>
  <c r="AK7" i="1"/>
  <c r="AM6" i="1"/>
  <c r="AL6" i="1"/>
  <c r="AK6" i="1"/>
  <c r="W5" i="1"/>
  <c r="W6" i="1" s="1"/>
  <c r="W7" i="1" s="1"/>
  <c r="AY8" i="1"/>
  <c r="BC5" i="1"/>
  <c r="BE5" i="1" s="1"/>
  <c r="BE4" i="1"/>
  <c r="BD4" i="1"/>
  <c r="AA134" i="2" l="1"/>
  <c r="BD6" i="1"/>
  <c r="BD7" i="1" s="1"/>
  <c r="BD8" i="1" s="1"/>
  <c r="BD9" i="1" s="1"/>
  <c r="BD10" i="1" s="1"/>
  <c r="BD11" i="1" s="1"/>
  <c r="BD12" i="1" s="1"/>
  <c r="BD13" i="1" s="1"/>
  <c r="BD14" i="1" s="1"/>
  <c r="BD15" i="1" s="1"/>
  <c r="BD16" i="1" s="1"/>
  <c r="BD17" i="1" s="1"/>
  <c r="BD18" i="1" s="1"/>
  <c r="BD19" i="1" s="1"/>
  <c r="BD20" i="1" s="1"/>
  <c r="BD21" i="1" s="1"/>
  <c r="BD22" i="1" s="1"/>
  <c r="BD23" i="1" s="1"/>
  <c r="BD24" i="1" s="1"/>
  <c r="BD25" i="1" s="1"/>
  <c r="BD26" i="1" s="1"/>
  <c r="BD27" i="1" s="1"/>
  <c r="BD28" i="1" s="1"/>
  <c r="BD29" i="1" s="1"/>
  <c r="BD30" i="1" s="1"/>
  <c r="BD31" i="1" s="1"/>
  <c r="BD32" i="1" s="1"/>
  <c r="BD33" i="1" s="1"/>
  <c r="BD34" i="1" s="1"/>
  <c r="BD35" i="1" s="1"/>
  <c r="BD36" i="1" s="1"/>
  <c r="BD37" i="1" s="1"/>
  <c r="BD38" i="1" s="1"/>
  <c r="BD39" i="1" s="1"/>
  <c r="BD40" i="1" s="1"/>
  <c r="BD41" i="1" s="1"/>
  <c r="BD42" i="1" s="1"/>
  <c r="BD43" i="1" s="1"/>
  <c r="BD44" i="1" s="1"/>
  <c r="BD45" i="1" s="1"/>
  <c r="BD46" i="1" s="1"/>
  <c r="BD47" i="1" s="1"/>
  <c r="BD48" i="1" s="1"/>
  <c r="BD49" i="1" s="1"/>
  <c r="BD50" i="1" s="1"/>
  <c r="BD51" i="1" s="1"/>
  <c r="BD52" i="1" s="1"/>
  <c r="BD53" i="1" s="1"/>
  <c r="BD54" i="1" s="1"/>
  <c r="BD55" i="1" s="1"/>
  <c r="BD56" i="1" s="1"/>
  <c r="BD57" i="1" s="1"/>
  <c r="BD58" i="1" s="1"/>
  <c r="BD59" i="1" s="1"/>
  <c r="BD60" i="1" s="1"/>
  <c r="BD61" i="1" s="1"/>
  <c r="BD62" i="1" s="1"/>
  <c r="BD63" i="1" s="1"/>
  <c r="BD64" i="1" s="1"/>
  <c r="BD65" i="1" s="1"/>
  <c r="BD66" i="1" s="1"/>
  <c r="BD67" i="1" s="1"/>
  <c r="BD68" i="1" s="1"/>
  <c r="BD69" i="1" s="1"/>
  <c r="BD70" i="1" s="1"/>
  <c r="BD71" i="1" s="1"/>
  <c r="BD72" i="1" s="1"/>
  <c r="BD73" i="1" s="1"/>
  <c r="BD74" i="1" s="1"/>
  <c r="BD75" i="1" s="1"/>
  <c r="BD76" i="1" s="1"/>
  <c r="BD77" i="1" s="1"/>
  <c r="BD78" i="1" s="1"/>
  <c r="BD79" i="1" s="1"/>
  <c r="BD80" i="1" s="1"/>
  <c r="BD81" i="1" s="1"/>
  <c r="BD82" i="1" s="1"/>
  <c r="BD83" i="1" s="1"/>
  <c r="BD84" i="1" s="1"/>
  <c r="BD85" i="1" s="1"/>
  <c r="BD86" i="1" s="1"/>
  <c r="BD87" i="1" s="1"/>
  <c r="BD88" i="1" s="1"/>
  <c r="BD89" i="1" s="1"/>
  <c r="BD90" i="1" s="1"/>
  <c r="BD91" i="1" s="1"/>
  <c r="BD92" i="1" s="1"/>
  <c r="BD93" i="1" s="1"/>
  <c r="BD94" i="1" s="1"/>
  <c r="BD95" i="1" s="1"/>
  <c r="BD96" i="1" s="1"/>
  <c r="BD97" i="1" s="1"/>
  <c r="BD98" i="1" s="1"/>
  <c r="BD99" i="1" s="1"/>
  <c r="BD100" i="1" s="1"/>
  <c r="BD101" i="1" s="1"/>
  <c r="BD102" i="1" s="1"/>
  <c r="BD103" i="1" s="1"/>
  <c r="BD104" i="1" s="1"/>
  <c r="BD105" i="1" s="1"/>
  <c r="BD106" i="1" s="1"/>
  <c r="BD107" i="1" s="1"/>
  <c r="BD108" i="1" s="1"/>
  <c r="BD109" i="1" s="1"/>
  <c r="BD110" i="1" s="1"/>
  <c r="BD111" i="1" s="1"/>
  <c r="BD112" i="1" s="1"/>
  <c r="BD113" i="1" s="1"/>
  <c r="BD114" i="1" s="1"/>
  <c r="BD115" i="1" s="1"/>
  <c r="BD116" i="1" s="1"/>
  <c r="BD117" i="1" s="1"/>
  <c r="BD118" i="1" s="1"/>
  <c r="BD119" i="1" s="1"/>
  <c r="BD120" i="1" s="1"/>
  <c r="BD121" i="1" s="1"/>
  <c r="BD122" i="1" s="1"/>
  <c r="BD123" i="1" s="1"/>
  <c r="BD124" i="1" s="1"/>
  <c r="BD125" i="1" s="1"/>
  <c r="BD126" i="1" s="1"/>
  <c r="BD127" i="1" s="1"/>
  <c r="BD128" i="1" s="1"/>
  <c r="BD129" i="1" s="1"/>
  <c r="BD130" i="1" s="1"/>
  <c r="BD131" i="1" s="1"/>
  <c r="BD132" i="1" s="1"/>
  <c r="BD133" i="1" s="1"/>
  <c r="BD134" i="1" s="1"/>
  <c r="BD135" i="1" s="1"/>
  <c r="BD136" i="1" s="1"/>
  <c r="BD137" i="1" s="1"/>
  <c r="BD138" i="1" s="1"/>
  <c r="BD139" i="1" s="1"/>
  <c r="BD140" i="1" s="1"/>
  <c r="BD141" i="1" s="1"/>
  <c r="BD142" i="1" s="1"/>
  <c r="BD143" i="1" s="1"/>
  <c r="BD144" i="1" s="1"/>
  <c r="BD145" i="1" s="1"/>
  <c r="BD146" i="1" s="1"/>
  <c r="BD147" i="1" s="1"/>
  <c r="BD148" i="1" s="1"/>
  <c r="BD149" i="1" s="1"/>
  <c r="BD150" i="1" s="1"/>
  <c r="BD151" i="1" s="1"/>
  <c r="BD152" i="1" s="1"/>
  <c r="BD153" i="1" s="1"/>
  <c r="BD154" i="1" s="1"/>
  <c r="BD155" i="1" s="1"/>
  <c r="BD156" i="1" s="1"/>
  <c r="BD157" i="1" s="1"/>
  <c r="BD158" i="1" s="1"/>
  <c r="BD159" i="1" s="1"/>
  <c r="BD160" i="1" s="1"/>
  <c r="BD161" i="1" s="1"/>
  <c r="BD162" i="1" s="1"/>
  <c r="BD163" i="1" s="1"/>
  <c r="BD164" i="1" s="1"/>
  <c r="BD165" i="1" s="1"/>
  <c r="BD166" i="1" s="1"/>
  <c r="BD167" i="1" s="1"/>
  <c r="BD168" i="1" s="1"/>
  <c r="BD169" i="1" s="1"/>
  <c r="BD170" i="1" s="1"/>
  <c r="BD171" i="1" s="1"/>
  <c r="BD172" i="1" s="1"/>
  <c r="BD173" i="1" s="1"/>
  <c r="BD174" i="1" s="1"/>
  <c r="BD175" i="1" s="1"/>
  <c r="BD176" i="1" s="1"/>
  <c r="BD177" i="1" s="1"/>
  <c r="BD178" i="1" s="1"/>
  <c r="BD179" i="1" s="1"/>
  <c r="BD180" i="1" s="1"/>
  <c r="BD181" i="1" s="1"/>
  <c r="BD182" i="1" s="1"/>
  <c r="BD183" i="1" s="1"/>
  <c r="BD184" i="1" s="1"/>
  <c r="BD185" i="1" s="1"/>
  <c r="BD186" i="1" s="1"/>
  <c r="BD187" i="1" s="1"/>
  <c r="BD188" i="1" s="1"/>
  <c r="BD189" i="1" s="1"/>
  <c r="BD190" i="1" s="1"/>
  <c r="BD191" i="1" s="1"/>
  <c r="BD192" i="1" s="1"/>
  <c r="BD193" i="1" s="1"/>
  <c r="BD194" i="1" s="1"/>
  <c r="BD195" i="1" s="1"/>
  <c r="BD196" i="1" s="1"/>
  <c r="BD197" i="1" s="1"/>
  <c r="BD198" i="1" s="1"/>
  <c r="BD199" i="1" s="1"/>
  <c r="BD200" i="1" s="1"/>
  <c r="BD201" i="1" s="1"/>
  <c r="BD202" i="1" s="1"/>
  <c r="BD203" i="1" s="1"/>
  <c r="BD204" i="1" s="1"/>
  <c r="BD205" i="1" s="1"/>
  <c r="BD206" i="1" s="1"/>
  <c r="BD207" i="1" s="1"/>
  <c r="BD208" i="1" s="1"/>
  <c r="BD209" i="1" s="1"/>
  <c r="BD210" i="1" s="1"/>
  <c r="BD211" i="1" s="1"/>
  <c r="BD212" i="1" s="1"/>
  <c r="BD213" i="1" s="1"/>
  <c r="BD214" i="1" s="1"/>
  <c r="BD215" i="1" s="1"/>
  <c r="BD216" i="1" s="1"/>
  <c r="BD217" i="1" s="1"/>
  <c r="BD218" i="1" s="1"/>
  <c r="BD219" i="1" s="1"/>
  <c r="BD220" i="1" s="1"/>
  <c r="BD221" i="1" s="1"/>
  <c r="BD222" i="1" s="1"/>
  <c r="BD223" i="1" s="1"/>
  <c r="BD224" i="1" s="1"/>
  <c r="BD225" i="1" s="1"/>
  <c r="BD226" i="1" s="1"/>
  <c r="BD227" i="1" s="1"/>
  <c r="BD228" i="1" s="1"/>
  <c r="BD229" i="1" s="1"/>
  <c r="BD230" i="1" s="1"/>
  <c r="BD231" i="1" s="1"/>
  <c r="BD232" i="1" s="1"/>
  <c r="BD233" i="1" s="1"/>
  <c r="BD234" i="1" s="1"/>
  <c r="BD235" i="1" s="1"/>
  <c r="BD236" i="1" s="1"/>
  <c r="BD237" i="1" s="1"/>
  <c r="BD238" i="1" s="1"/>
  <c r="BD239" i="1" s="1"/>
  <c r="BD240" i="1" s="1"/>
  <c r="BD241" i="1" s="1"/>
  <c r="BD242" i="1" s="1"/>
  <c r="BD243" i="1" s="1"/>
  <c r="BD244" i="1" s="1"/>
  <c r="BD245" i="1" s="1"/>
  <c r="BD246" i="1" s="1"/>
  <c r="BD247" i="1" s="1"/>
  <c r="BD248" i="1" s="1"/>
  <c r="BD249" i="1" s="1"/>
  <c r="BD250" i="1" s="1"/>
  <c r="BD251" i="1" s="1"/>
  <c r="BD252" i="1" s="1"/>
  <c r="BD253" i="1" s="1"/>
  <c r="BD254" i="1" s="1"/>
  <c r="BD255" i="1" s="1"/>
  <c r="BD256" i="1" s="1"/>
  <c r="BD257" i="1" s="1"/>
  <c r="BD258" i="1" s="1"/>
  <c r="BD259" i="1" s="1"/>
  <c r="BD260" i="1" s="1"/>
  <c r="BD261" i="1" s="1"/>
  <c r="BD262" i="1" s="1"/>
  <c r="BD263" i="1" s="1"/>
  <c r="BD264" i="1" s="1"/>
  <c r="BD265" i="1" s="1"/>
  <c r="BD266" i="1" s="1"/>
  <c r="BD267" i="1" s="1"/>
  <c r="BD268" i="1" s="1"/>
  <c r="BD269" i="1" s="1"/>
  <c r="BD270" i="1" s="1"/>
  <c r="BD271" i="1" s="1"/>
  <c r="BD272" i="1" s="1"/>
  <c r="BD273" i="1" s="1"/>
  <c r="BD274" i="1" s="1"/>
  <c r="BD275" i="1" s="1"/>
  <c r="BD276" i="1" s="1"/>
  <c r="BD277" i="1" s="1"/>
  <c r="BD278" i="1" s="1"/>
  <c r="BD279" i="1" s="1"/>
  <c r="BD280" i="1" s="1"/>
  <c r="BD281" i="1" s="1"/>
  <c r="BD282" i="1" s="1"/>
  <c r="BD283" i="1" s="1"/>
  <c r="BD284" i="1" s="1"/>
  <c r="BD285" i="1" s="1"/>
  <c r="BD286" i="1" s="1"/>
  <c r="BD287" i="1" s="1"/>
  <c r="BD288" i="1" s="1"/>
  <c r="BD289" i="1" s="1"/>
  <c r="BD290" i="1" s="1"/>
  <c r="BD291" i="1" s="1"/>
  <c r="BD292" i="1" s="1"/>
  <c r="BD293" i="1" s="1"/>
  <c r="BD294" i="1" s="1"/>
  <c r="BD295" i="1" s="1"/>
  <c r="BD296" i="1" s="1"/>
  <c r="BD297" i="1" s="1"/>
  <c r="BD298" i="1" s="1"/>
  <c r="BD299" i="1" s="1"/>
  <c r="BD300" i="1" s="1"/>
  <c r="BD301" i="1" s="1"/>
  <c r="BD302" i="1" s="1"/>
  <c r="BD303" i="1" s="1"/>
  <c r="BD304" i="1" s="1"/>
  <c r="BD305" i="1" s="1"/>
  <c r="BD306" i="1" s="1"/>
  <c r="BD307" i="1" s="1"/>
  <c r="BD308" i="1" s="1"/>
  <c r="BD309" i="1" s="1"/>
  <c r="BD310" i="1" s="1"/>
  <c r="BD311" i="1" s="1"/>
  <c r="BD312" i="1" s="1"/>
  <c r="BD313" i="1" s="1"/>
  <c r="BD314" i="1" s="1"/>
  <c r="BD315" i="1" s="1"/>
  <c r="BD316" i="1" s="1"/>
  <c r="BD317" i="1" s="1"/>
  <c r="BD318" i="1" s="1"/>
  <c r="BD319" i="1" s="1"/>
  <c r="BD320" i="1" s="1"/>
  <c r="BD321" i="1" s="1"/>
  <c r="BD322" i="1" s="1"/>
  <c r="BD323" i="1" s="1"/>
  <c r="BD324" i="1" s="1"/>
  <c r="BD325" i="1" s="1"/>
  <c r="BD326" i="1" s="1"/>
  <c r="BD327" i="1" s="1"/>
  <c r="BD328" i="1" s="1"/>
  <c r="BD329" i="1" s="1"/>
  <c r="BD330" i="1" s="1"/>
  <c r="BD331" i="1" s="1"/>
  <c r="BD332" i="1" s="1"/>
  <c r="BD333" i="1" s="1"/>
  <c r="BD334" i="1" s="1"/>
  <c r="BD335" i="1" s="1"/>
  <c r="BD336" i="1" s="1"/>
  <c r="BD337" i="1" s="1"/>
  <c r="BD338" i="1" s="1"/>
  <c r="BD339" i="1" s="1"/>
  <c r="BD340" i="1" s="1"/>
  <c r="BD341" i="1" s="1"/>
  <c r="BD342" i="1" s="1"/>
  <c r="BD343" i="1" s="1"/>
  <c r="BD344" i="1" s="1"/>
  <c r="BD345" i="1" s="1"/>
  <c r="BD346" i="1" s="1"/>
  <c r="BD347" i="1" s="1"/>
  <c r="BD348" i="1" s="1"/>
  <c r="BD349" i="1" s="1"/>
  <c r="BD350" i="1" s="1"/>
  <c r="BD351" i="1" s="1"/>
  <c r="BD352" i="1" s="1"/>
  <c r="BD353" i="1" s="1"/>
  <c r="BD354" i="1" s="1"/>
  <c r="BD355" i="1" s="1"/>
  <c r="BD356" i="1" s="1"/>
  <c r="BD357" i="1" s="1"/>
  <c r="BD358" i="1" s="1"/>
  <c r="BD359" i="1" s="1"/>
  <c r="BD360" i="1" s="1"/>
  <c r="BD361" i="1" s="1"/>
  <c r="BD362" i="1" s="1"/>
  <c r="BD363" i="1" s="1"/>
  <c r="BD364" i="1" s="1"/>
  <c r="BD365" i="1" s="1"/>
  <c r="BD366" i="1" s="1"/>
  <c r="BD367" i="1" s="1"/>
  <c r="BD368" i="1" s="1"/>
  <c r="BD369" i="1" s="1"/>
  <c r="BD370" i="1" s="1"/>
  <c r="BD371" i="1" s="1"/>
  <c r="BD372" i="1" s="1"/>
  <c r="BD373" i="1" s="1"/>
  <c r="BD374" i="1" s="1"/>
  <c r="BD375" i="1" s="1"/>
  <c r="BD376" i="1" s="1"/>
  <c r="BD377" i="1" s="1"/>
  <c r="BD378" i="1" s="1"/>
  <c r="BD379" i="1" s="1"/>
  <c r="BD380" i="1" s="1"/>
  <c r="BD381" i="1" s="1"/>
  <c r="BD382" i="1" s="1"/>
  <c r="BD383" i="1" s="1"/>
  <c r="BD384" i="1" s="1"/>
  <c r="BD385" i="1" s="1"/>
  <c r="BD386" i="1" s="1"/>
  <c r="BD387" i="1" s="1"/>
  <c r="BD388" i="1" s="1"/>
  <c r="BD389" i="1" s="1"/>
  <c r="BD390" i="1" s="1"/>
  <c r="BD391" i="1" s="1"/>
  <c r="BD392" i="1" s="1"/>
  <c r="BD393" i="1" s="1"/>
  <c r="BD394" i="1" s="1"/>
  <c r="BD395" i="1" s="1"/>
  <c r="BD396" i="1" s="1"/>
  <c r="BD397" i="1" s="1"/>
  <c r="BD398" i="1" s="1"/>
  <c r="BD399" i="1" s="1"/>
  <c r="BD400" i="1" s="1"/>
  <c r="BD401" i="1" s="1"/>
  <c r="BD402" i="1" s="1"/>
  <c r="BD403" i="1" s="1"/>
  <c r="BD404" i="1" s="1"/>
  <c r="BD405" i="1" s="1"/>
  <c r="BD406" i="1" s="1"/>
  <c r="BD407" i="1" s="1"/>
  <c r="BD408" i="1" s="1"/>
  <c r="BD409" i="1" s="1"/>
  <c r="BD410" i="1" s="1"/>
  <c r="BD411" i="1" s="1"/>
  <c r="BD412" i="1" s="1"/>
  <c r="BD413" i="1" s="1"/>
  <c r="BD414" i="1" s="1"/>
  <c r="BD415" i="1" s="1"/>
  <c r="BD416" i="1" s="1"/>
  <c r="BD417" i="1" s="1"/>
  <c r="BD418" i="1" s="1"/>
  <c r="BD419" i="1" s="1"/>
  <c r="BD420" i="1" s="1"/>
  <c r="BD421" i="1" s="1"/>
  <c r="BD422" i="1" s="1"/>
  <c r="BD423" i="1" s="1"/>
  <c r="BD424" i="1" s="1"/>
  <c r="BD425" i="1" s="1"/>
  <c r="BD426" i="1" s="1"/>
  <c r="BD427" i="1" s="1"/>
  <c r="BD428" i="1" s="1"/>
  <c r="BD429" i="1" s="1"/>
  <c r="BD430" i="1" s="1"/>
  <c r="BD431" i="1" s="1"/>
  <c r="BD432" i="1" s="1"/>
  <c r="BD433" i="1" s="1"/>
  <c r="BD434" i="1" s="1"/>
  <c r="BD435" i="1" s="1"/>
  <c r="BD436" i="1" s="1"/>
  <c r="BD437" i="1" s="1"/>
  <c r="BD438" i="1" s="1"/>
  <c r="BD439" i="1" s="1"/>
  <c r="BD440" i="1" s="1"/>
  <c r="BD441" i="1" s="1"/>
  <c r="BD442" i="1" s="1"/>
  <c r="BD443" i="1" s="1"/>
  <c r="BD444" i="1" s="1"/>
  <c r="BD445" i="1" s="1"/>
  <c r="BD446" i="1" s="1"/>
  <c r="BD447" i="1" s="1"/>
  <c r="BD448" i="1" s="1"/>
  <c r="BD449" i="1" s="1"/>
  <c r="BD450" i="1" s="1"/>
  <c r="BD451" i="1" s="1"/>
  <c r="BD452" i="1" s="1"/>
  <c r="BD453" i="1" s="1"/>
  <c r="BD454" i="1" s="1"/>
  <c r="BD455" i="1" s="1"/>
  <c r="BD456" i="1" s="1"/>
  <c r="BD457" i="1" s="1"/>
  <c r="BD458" i="1" s="1"/>
  <c r="BD459" i="1" s="1"/>
  <c r="BD460" i="1" s="1"/>
  <c r="BD461" i="1" s="1"/>
  <c r="BD462" i="1" s="1"/>
  <c r="BD463" i="1" s="1"/>
  <c r="BD464" i="1" s="1"/>
  <c r="BD465" i="1" s="1"/>
  <c r="BD466" i="1" s="1"/>
  <c r="BD467" i="1" s="1"/>
  <c r="BD468" i="1" s="1"/>
  <c r="BD469" i="1" s="1"/>
  <c r="BD470" i="1" s="1"/>
  <c r="BD471" i="1" s="1"/>
  <c r="BD472" i="1" s="1"/>
  <c r="BD473" i="1" s="1"/>
  <c r="BD474" i="1" s="1"/>
  <c r="BD475" i="1" s="1"/>
  <c r="BD476" i="1" s="1"/>
  <c r="BD477" i="1" s="1"/>
  <c r="BD478" i="1" s="1"/>
  <c r="BD479" i="1" s="1"/>
  <c r="BD480" i="1" s="1"/>
  <c r="BD481" i="1" s="1"/>
  <c r="BD482" i="1" s="1"/>
  <c r="BD483" i="1" s="1"/>
  <c r="BD484" i="1" s="1"/>
  <c r="BD485" i="1" s="1"/>
  <c r="BD486" i="1" s="1"/>
  <c r="BD487" i="1" s="1"/>
  <c r="BD488" i="1" s="1"/>
  <c r="BD489" i="1" s="1"/>
  <c r="BD490" i="1" s="1"/>
  <c r="BD491" i="1" s="1"/>
  <c r="BD492" i="1" s="1"/>
  <c r="BD493" i="1" s="1"/>
  <c r="BD494" i="1" s="1"/>
  <c r="BD495" i="1" s="1"/>
  <c r="BD496" i="1" s="1"/>
  <c r="BD497" i="1" s="1"/>
  <c r="BD498" i="1" s="1"/>
  <c r="BD499" i="1" s="1"/>
  <c r="BD500" i="1" s="1"/>
  <c r="BD501" i="1" s="1"/>
  <c r="BD502" i="1" s="1"/>
  <c r="BD503" i="1" s="1"/>
  <c r="BD504" i="1" s="1"/>
  <c r="BD505" i="1" s="1"/>
  <c r="BD506" i="1" s="1"/>
  <c r="BD507" i="1" s="1"/>
  <c r="BD508" i="1" s="1"/>
  <c r="BD509" i="1" s="1"/>
  <c r="BD510" i="1" s="1"/>
  <c r="BD511" i="1" s="1"/>
  <c r="BD512" i="1" s="1"/>
  <c r="BD513" i="1" s="1"/>
  <c r="BD514" i="1" s="1"/>
  <c r="BD515" i="1" s="1"/>
  <c r="BD516" i="1" s="1"/>
  <c r="BD517" i="1" s="1"/>
  <c r="BD518" i="1" s="1"/>
  <c r="BD519" i="1" s="1"/>
  <c r="BD520" i="1" s="1"/>
  <c r="BD521" i="1" s="1"/>
  <c r="BD522" i="1" s="1"/>
  <c r="BD523" i="1" s="1"/>
  <c r="BD524" i="1" s="1"/>
  <c r="BD525" i="1" s="1"/>
  <c r="BD526" i="1" s="1"/>
  <c r="BD527" i="1" s="1"/>
  <c r="BD528" i="1" s="1"/>
  <c r="BD529" i="1" s="1"/>
  <c r="BD530" i="1" s="1"/>
  <c r="BD531" i="1" s="1"/>
  <c r="BD532" i="1" s="1"/>
  <c r="BD533" i="1" s="1"/>
  <c r="BD534" i="1" s="1"/>
  <c r="BD535" i="1" s="1"/>
  <c r="BD536" i="1" s="1"/>
  <c r="BD537" i="1" s="1"/>
  <c r="BD538" i="1" s="1"/>
  <c r="BD539" i="1" s="1"/>
  <c r="BD540" i="1" s="1"/>
  <c r="BD541" i="1" s="1"/>
  <c r="BD542" i="1" s="1"/>
  <c r="BD543" i="1" s="1"/>
  <c r="BD544" i="1" s="1"/>
  <c r="BD545" i="1" s="1"/>
  <c r="BD546" i="1" s="1"/>
  <c r="BD547" i="1" s="1"/>
  <c r="BD548" i="1" s="1"/>
  <c r="BD549" i="1" s="1"/>
  <c r="BD550" i="1" s="1"/>
  <c r="BD551" i="1" s="1"/>
  <c r="BD552" i="1" s="1"/>
  <c r="BD553" i="1" s="1"/>
  <c r="BD554" i="1" s="1"/>
  <c r="BD555" i="1" s="1"/>
  <c r="BD556" i="1" s="1"/>
  <c r="BD557" i="1" s="1"/>
  <c r="BD558" i="1" s="1"/>
  <c r="BD559" i="1" s="1"/>
  <c r="BD560" i="1" s="1"/>
  <c r="BD561" i="1" s="1"/>
  <c r="BD562" i="1" s="1"/>
  <c r="BD563" i="1" s="1"/>
  <c r="BD564" i="1" s="1"/>
  <c r="BD565" i="1" s="1"/>
  <c r="BD566" i="1" s="1"/>
  <c r="BD567" i="1" s="1"/>
  <c r="BD568" i="1" s="1"/>
  <c r="BD569" i="1" s="1"/>
  <c r="BD570" i="1" s="1"/>
  <c r="BD571" i="1" s="1"/>
  <c r="BD572" i="1" s="1"/>
  <c r="BD573" i="1" s="1"/>
  <c r="BD574" i="1" s="1"/>
  <c r="BD575" i="1" s="1"/>
  <c r="BD576" i="1" s="1"/>
  <c r="BD577" i="1" s="1"/>
  <c r="BD578" i="1" s="1"/>
  <c r="BD579" i="1" s="1"/>
  <c r="BD580" i="1" s="1"/>
  <c r="BD581" i="1" s="1"/>
  <c r="BD582" i="1" s="1"/>
  <c r="BD583" i="1" s="1"/>
  <c r="BD584" i="1" s="1"/>
  <c r="BD585" i="1" s="1"/>
  <c r="BD586" i="1" s="1"/>
  <c r="BD587" i="1" s="1"/>
  <c r="BD588" i="1" s="1"/>
  <c r="BD589" i="1" s="1"/>
  <c r="BD590" i="1" s="1"/>
  <c r="BD591" i="1" s="1"/>
  <c r="BD592" i="1" s="1"/>
  <c r="BD593" i="1" s="1"/>
  <c r="BD594" i="1" s="1"/>
  <c r="BD595" i="1" s="1"/>
  <c r="BD596" i="1" s="1"/>
  <c r="BD597" i="1" s="1"/>
  <c r="BD598" i="1" s="1"/>
  <c r="BD599" i="1" s="1"/>
  <c r="BD600" i="1" s="1"/>
  <c r="X6" i="1"/>
  <c r="X7" i="1"/>
  <c r="W8" i="1"/>
  <c r="X8" i="1" s="1"/>
  <c r="AA22" i="2"/>
  <c r="AA176" i="2"/>
  <c r="AA161" i="2"/>
  <c r="AA170" i="2"/>
  <c r="AA94" i="2"/>
  <c r="AA202" i="2"/>
  <c r="AA155" i="2"/>
  <c r="AA171" i="2"/>
  <c r="AA125" i="2"/>
  <c r="AA173" i="2"/>
  <c r="AA42" i="2"/>
  <c r="AA110" i="2"/>
  <c r="AA126" i="2"/>
  <c r="AA18" i="2"/>
  <c r="BC6" i="2" s="1"/>
  <c r="AA21" i="2"/>
  <c r="AA25" i="2"/>
  <c r="AA28" i="2"/>
  <c r="AA93" i="2"/>
  <c r="AA136" i="2"/>
  <c r="AA189" i="2"/>
  <c r="AA205" i="2"/>
  <c r="AA157" i="2"/>
  <c r="AA168" i="2"/>
  <c r="AA19" i="2"/>
  <c r="BC7" i="2" s="1"/>
  <c r="AA154" i="2"/>
  <c r="AA82" i="2"/>
  <c r="AA164" i="2"/>
  <c r="AA137" i="2"/>
  <c r="AA9" i="2"/>
  <c r="AA16" i="2"/>
  <c r="AA24" i="2"/>
  <c r="AA41" i="2"/>
  <c r="AA53" i="2"/>
  <c r="AA162" i="2"/>
  <c r="AA14" i="2"/>
  <c r="AA81" i="2"/>
  <c r="AA158" i="2"/>
  <c r="AA33" i="2"/>
  <c r="AA172" i="2"/>
  <c r="AA61" i="2"/>
  <c r="AA69" i="2"/>
  <c r="AA76" i="2"/>
  <c r="AA146" i="2"/>
  <c r="AA196" i="2"/>
  <c r="AA204" i="2"/>
  <c r="AA72" i="2"/>
  <c r="AA103" i="2"/>
  <c r="AA156" i="2"/>
  <c r="AA5" i="2"/>
  <c r="BB5" i="2" s="1"/>
  <c r="AA182" i="2"/>
  <c r="AA64" i="2"/>
  <c r="AA73" i="2"/>
  <c r="AA127" i="2"/>
  <c r="AA208" i="2"/>
  <c r="AA20" i="2"/>
  <c r="AA51" i="2"/>
  <c r="AA66" i="2"/>
  <c r="AA74" i="2"/>
  <c r="AA89" i="2"/>
  <c r="AA96" i="2"/>
  <c r="AA114" i="2"/>
  <c r="AA122" i="2"/>
  <c r="AA163" i="2"/>
  <c r="AA23" i="2"/>
  <c r="AA65" i="2"/>
  <c r="AA145" i="2"/>
  <c r="AA153" i="2"/>
  <c r="AA133" i="2"/>
  <c r="AA139" i="2"/>
  <c r="AA169" i="2"/>
  <c r="AA78" i="2"/>
  <c r="AA83" i="2"/>
  <c r="AA123" i="2"/>
  <c r="AA140" i="2"/>
  <c r="AA79" i="2"/>
  <c r="AA130" i="2"/>
  <c r="AA177" i="2"/>
  <c r="AA185" i="2"/>
  <c r="AA200" i="2"/>
  <c r="AA97" i="2"/>
  <c r="AA104" i="2"/>
  <c r="AA111" i="2"/>
  <c r="AA129" i="2"/>
  <c r="AA178" i="2"/>
  <c r="AA187" i="2"/>
  <c r="AA207" i="2"/>
  <c r="AA12" i="2"/>
  <c r="AA40" i="2"/>
  <c r="AA46" i="2"/>
  <c r="AA60" i="2"/>
  <c r="AA90" i="2"/>
  <c r="AA128" i="2"/>
  <c r="AA159" i="2"/>
  <c r="AA10" i="2"/>
  <c r="AA29" i="2"/>
  <c r="AA34" i="2"/>
  <c r="AA88" i="2"/>
  <c r="AA95" i="2"/>
  <c r="AA138" i="2"/>
  <c r="AA144" i="2"/>
  <c r="AA151" i="2"/>
  <c r="AA188" i="2"/>
  <c r="AA175" i="2"/>
  <c r="AA186" i="2"/>
  <c r="AA192" i="2"/>
  <c r="AA197" i="2"/>
  <c r="AA183" i="2"/>
  <c r="AA193" i="2"/>
  <c r="AA195" i="2"/>
  <c r="AA184" i="2"/>
  <c r="AA194" i="2"/>
  <c r="W176" i="2"/>
  <c r="X175" i="2"/>
  <c r="AA55" i="2"/>
  <c r="AA54" i="2"/>
  <c r="AA92" i="2"/>
  <c r="AA91" i="2"/>
  <c r="AA7" i="2"/>
  <c r="BB7" i="2" s="1"/>
  <c r="AA6" i="2"/>
  <c r="AA181" i="2"/>
  <c r="AA180" i="2"/>
  <c r="AN6" i="1"/>
  <c r="AA86" i="2"/>
  <c r="AA87" i="2"/>
  <c r="AA141" i="2"/>
  <c r="AA62" i="2"/>
  <c r="AA63" i="2"/>
  <c r="AA148" i="2"/>
  <c r="AA147" i="2"/>
  <c r="BC6" i="1"/>
  <c r="AA115" i="2"/>
  <c r="AA116" i="2"/>
  <c r="BD4" i="2"/>
  <c r="AA58" i="2"/>
  <c r="AA59" i="2"/>
  <c r="AA38" i="2"/>
  <c r="AA198" i="2"/>
  <c r="AA199" i="2"/>
  <c r="AA165" i="2"/>
  <c r="AA166" i="2"/>
  <c r="AA179" i="2"/>
  <c r="AA100" i="2"/>
  <c r="AA101" i="2"/>
  <c r="AA190" i="2"/>
  <c r="AA191" i="2"/>
  <c r="BB6" i="2"/>
  <c r="BA8" i="2"/>
  <c r="AA36" i="2"/>
  <c r="AA35" i="2"/>
  <c r="AA105" i="2"/>
  <c r="AA142" i="2"/>
  <c r="AA47" i="2"/>
  <c r="AA149" i="2"/>
  <c r="AA150" i="2"/>
  <c r="AA77" i="2"/>
  <c r="AA106" i="2"/>
  <c r="AA107" i="2"/>
  <c r="AA70" i="2"/>
  <c r="AA71" i="2"/>
  <c r="AA174" i="2"/>
  <c r="AA203" i="2"/>
  <c r="AA30" i="2"/>
  <c r="AA31" i="2"/>
  <c r="AA43" i="2"/>
  <c r="AA44" i="2"/>
  <c r="AA45" i="2"/>
  <c r="AA201" i="2"/>
  <c r="AA17" i="2"/>
  <c r="BC5" i="2" s="1"/>
  <c r="AA102" i="2"/>
  <c r="AA119" i="2"/>
  <c r="AA152" i="2"/>
  <c r="AA160" i="2"/>
  <c r="AA27" i="2"/>
  <c r="AA26" i="2"/>
  <c r="AA39" i="2"/>
  <c r="AA67" i="2"/>
  <c r="AA112" i="2"/>
  <c r="AA124" i="2"/>
  <c r="AA52" i="2"/>
  <c r="AA57" i="2"/>
  <c r="AA68" i="2"/>
  <c r="AA113" i="2"/>
  <c r="AA143" i="2"/>
  <c r="AA11" i="2"/>
  <c r="AA15" i="2"/>
  <c r="AA50" i="2"/>
  <c r="AA131" i="2"/>
  <c r="AA135" i="2"/>
  <c r="AA167" i="2"/>
  <c r="AA206" i="2"/>
  <c r="BC8" i="2" l="1"/>
  <c r="W9" i="1"/>
  <c r="W10" i="1" s="1"/>
  <c r="BB8" i="2"/>
  <c r="BA9" i="2"/>
  <c r="BD9" i="2" s="1"/>
  <c r="BD7" i="2"/>
  <c r="BE4" i="2"/>
  <c r="BD5" i="2"/>
  <c r="BD6" i="2"/>
  <c r="BD8" i="2"/>
  <c r="BC7" i="1"/>
  <c r="BE6" i="1"/>
  <c r="X176" i="2"/>
  <c r="W177" i="2"/>
  <c r="X9" i="1" l="1"/>
  <c r="X10" i="1"/>
  <c r="W11" i="1"/>
  <c r="BE7" i="1"/>
  <c r="BC8" i="1"/>
  <c r="BB9" i="2"/>
  <c r="BA10" i="2"/>
  <c r="BE10" i="2" s="1"/>
  <c r="BC9" i="2"/>
  <c r="BE9" i="2"/>
  <c r="BE5" i="2"/>
  <c r="BE8" i="2"/>
  <c r="BF4" i="2"/>
  <c r="BE6" i="2"/>
  <c r="BE7" i="2"/>
  <c r="X177" i="2"/>
  <c r="W178" i="2"/>
  <c r="X11" i="1" l="1"/>
  <c r="W12" i="1"/>
  <c r="X178" i="2"/>
  <c r="W179" i="2"/>
  <c r="BA11" i="2"/>
  <c r="BB10" i="2"/>
  <c r="BC10" i="2"/>
  <c r="BD10" i="2"/>
  <c r="BF5" i="2"/>
  <c r="BF8" i="2"/>
  <c r="BF7" i="2"/>
  <c r="BF10" i="2"/>
  <c r="BF9" i="2"/>
  <c r="BF6" i="2"/>
  <c r="BG4" i="2"/>
  <c r="BE8" i="1"/>
  <c r="BC9" i="1"/>
  <c r="W13" i="1" l="1"/>
  <c r="X12" i="1"/>
  <c r="BE9" i="1"/>
  <c r="BC10" i="1"/>
  <c r="BA12" i="2"/>
  <c r="BB11" i="2"/>
  <c r="BC11" i="2"/>
  <c r="BD11" i="2"/>
  <c r="BE11" i="2"/>
  <c r="X179" i="2"/>
  <c r="W180" i="2"/>
  <c r="BH4" i="2"/>
  <c r="BG9" i="2"/>
  <c r="BG5" i="2"/>
  <c r="BG8" i="2"/>
  <c r="BG10" i="2"/>
  <c r="BG7" i="2"/>
  <c r="BG6" i="2"/>
  <c r="BG11" i="2"/>
  <c r="BF11" i="2"/>
  <c r="X13" i="1" l="1"/>
  <c r="W14" i="1"/>
  <c r="X180" i="2"/>
  <c r="W181" i="2"/>
  <c r="BH8" i="2"/>
  <c r="BH10" i="2"/>
  <c r="BI4" i="2"/>
  <c r="BH12" i="2"/>
  <c r="BH9" i="2"/>
  <c r="BH11" i="2"/>
  <c r="BH6" i="2"/>
  <c r="BH5" i="2"/>
  <c r="BH7" i="2"/>
  <c r="BB12" i="2"/>
  <c r="BA13" i="2"/>
  <c r="BC12" i="2"/>
  <c r="BD12" i="2"/>
  <c r="BE12" i="2"/>
  <c r="BF12" i="2"/>
  <c r="BG12" i="2"/>
  <c r="BC11" i="1"/>
  <c r="BE10" i="1"/>
  <c r="X14" i="1" l="1"/>
  <c r="W15" i="1"/>
  <c r="BB13" i="2"/>
  <c r="BA14" i="2"/>
  <c r="BC13" i="2"/>
  <c r="BD13" i="2"/>
  <c r="BE13" i="2"/>
  <c r="BF13" i="2"/>
  <c r="BG13" i="2"/>
  <c r="W182" i="2"/>
  <c r="X181" i="2"/>
  <c r="BI11" i="2"/>
  <c r="BI10" i="2"/>
  <c r="BI6" i="2"/>
  <c r="BJ4" i="2"/>
  <c r="BI13" i="2"/>
  <c r="BI7" i="2"/>
  <c r="BI9" i="2"/>
  <c r="BI12" i="2"/>
  <c r="BI5" i="2"/>
  <c r="BI8" i="2"/>
  <c r="BH13" i="2"/>
  <c r="BC12" i="1"/>
  <c r="BE11" i="1"/>
  <c r="W16" i="1" l="1"/>
  <c r="X15" i="1"/>
  <c r="BA15" i="2"/>
  <c r="BB14" i="2"/>
  <c r="BC14" i="2"/>
  <c r="BD14" i="2"/>
  <c r="BE14" i="2"/>
  <c r="BF14" i="2"/>
  <c r="BG14" i="2"/>
  <c r="BH14" i="2"/>
  <c r="X182" i="2"/>
  <c r="W183" i="2"/>
  <c r="BI14" i="2"/>
  <c r="BJ7" i="2"/>
  <c r="BJ13" i="2"/>
  <c r="BJ10" i="2"/>
  <c r="BJ6" i="2"/>
  <c r="BJ14" i="2"/>
  <c r="BK4" i="2"/>
  <c r="BJ12" i="2"/>
  <c r="BJ5" i="2"/>
  <c r="BJ9" i="2"/>
  <c r="BJ8" i="2"/>
  <c r="BJ11" i="2"/>
  <c r="BE12" i="1"/>
  <c r="BC13" i="1"/>
  <c r="W17" i="1" l="1"/>
  <c r="X16" i="1"/>
  <c r="BB15" i="2"/>
  <c r="BA16" i="2"/>
  <c r="BC15" i="2"/>
  <c r="BD15" i="2"/>
  <c r="BE15" i="2"/>
  <c r="BF15" i="2"/>
  <c r="BG15" i="2"/>
  <c r="BH15" i="2"/>
  <c r="BI15" i="2"/>
  <c r="BJ15" i="2"/>
  <c r="BK14" i="2"/>
  <c r="BK10" i="2"/>
  <c r="BK6" i="2"/>
  <c r="BK7" i="2"/>
  <c r="BK15" i="2"/>
  <c r="BK12" i="2"/>
  <c r="BL4" i="2"/>
  <c r="BK13" i="2"/>
  <c r="BK8" i="2"/>
  <c r="BK5" i="2"/>
  <c r="BK9" i="2"/>
  <c r="BK11" i="2"/>
  <c r="BC14" i="1"/>
  <c r="BE13" i="1"/>
  <c r="W184" i="2"/>
  <c r="X183" i="2"/>
  <c r="X17" i="1" l="1"/>
  <c r="W18" i="1"/>
  <c r="BE14" i="1"/>
  <c r="BC15" i="1"/>
  <c r="BC16" i="2"/>
  <c r="BB16" i="2"/>
  <c r="BD16" i="2"/>
  <c r="BE16" i="2"/>
  <c r="BF16" i="2"/>
  <c r="BG16" i="2"/>
  <c r="BH16" i="2"/>
  <c r="BI16" i="2"/>
  <c r="BJ16" i="2"/>
  <c r="BL15" i="2"/>
  <c r="BL11" i="2"/>
  <c r="BL12" i="2"/>
  <c r="BL9" i="2"/>
  <c r="BL6" i="2"/>
  <c r="BL7" i="2"/>
  <c r="BL5" i="2"/>
  <c r="BL10" i="2"/>
  <c r="BL16" i="2"/>
  <c r="BM4" i="2"/>
  <c r="BL14" i="2"/>
  <c r="BL13" i="2"/>
  <c r="BL8" i="2"/>
  <c r="X184" i="2"/>
  <c r="W185" i="2"/>
  <c r="BK16" i="2"/>
  <c r="X18" i="1" l="1"/>
  <c r="W19" i="1"/>
  <c r="W186" i="2"/>
  <c r="X185" i="2"/>
  <c r="BM13" i="2"/>
  <c r="BM9" i="2"/>
  <c r="BM5" i="2"/>
  <c r="BM16" i="2"/>
  <c r="BM12" i="2"/>
  <c r="BM7" i="2"/>
  <c r="BN4" i="2"/>
  <c r="BM15" i="2"/>
  <c r="BM6" i="2"/>
  <c r="BM11" i="2"/>
  <c r="BM10" i="2"/>
  <c r="BM8" i="2"/>
  <c r="BM14" i="2"/>
  <c r="BE15" i="1"/>
  <c r="BC16" i="1"/>
  <c r="W20" i="1" l="1"/>
  <c r="X19" i="1"/>
  <c r="BE16" i="1"/>
  <c r="BC17" i="1"/>
  <c r="BN8" i="2"/>
  <c r="BN9" i="2"/>
  <c r="BN15" i="2"/>
  <c r="BN10" i="2"/>
  <c r="BN16" i="2"/>
  <c r="BO4" i="2"/>
  <c r="BN11" i="2"/>
  <c r="BN5" i="2"/>
  <c r="BN12" i="2"/>
  <c r="BN7" i="2"/>
  <c r="BN6" i="2"/>
  <c r="BN13" i="2"/>
  <c r="BN14" i="2"/>
  <c r="X186" i="2"/>
  <c r="W187" i="2"/>
  <c r="W21" i="1" l="1"/>
  <c r="X20" i="1"/>
  <c r="X187" i="2"/>
  <c r="W188" i="2"/>
  <c r="BO16" i="2"/>
  <c r="BO12" i="2"/>
  <c r="BP4" i="2"/>
  <c r="BO14" i="2"/>
  <c r="BO11" i="2"/>
  <c r="BO5" i="2"/>
  <c r="BO13" i="2"/>
  <c r="BO8" i="2"/>
  <c r="BO10" i="2"/>
  <c r="BO15" i="2"/>
  <c r="BO7" i="2"/>
  <c r="BO6" i="2"/>
  <c r="BO9" i="2"/>
  <c r="BC18" i="1"/>
  <c r="BE17" i="1"/>
  <c r="W22" i="1" l="1"/>
  <c r="X21" i="1"/>
  <c r="BC19" i="1"/>
  <c r="BE18" i="1"/>
  <c r="BP8" i="2"/>
  <c r="BP13" i="2"/>
  <c r="AT28" i="2" s="1"/>
  <c r="BP9" i="2"/>
  <c r="BP5" i="2"/>
  <c r="BP14" i="2"/>
  <c r="BP11" i="2"/>
  <c r="BP6" i="2"/>
  <c r="BP12" i="2"/>
  <c r="AT27" i="2" s="1"/>
  <c r="BP7" i="2"/>
  <c r="BP10" i="2"/>
  <c r="BP16" i="2"/>
  <c r="AU31" i="2" s="1"/>
  <c r="BP15" i="2"/>
  <c r="AT30" i="2" s="1"/>
  <c r="X188" i="2"/>
  <c r="W189" i="2"/>
  <c r="AW28" i="2" l="1"/>
  <c r="AX28" i="2"/>
  <c r="AY28" i="2" s="1"/>
  <c r="X22" i="1"/>
  <c r="W23" i="1"/>
  <c r="AT29" i="2"/>
  <c r="AU29" i="2"/>
  <c r="AV29" i="2"/>
  <c r="AW29" i="2"/>
  <c r="AV31" i="2"/>
  <c r="AW31" i="2"/>
  <c r="AT25" i="2"/>
  <c r="AW25" i="2"/>
  <c r="AU25" i="2"/>
  <c r="AV25" i="2"/>
  <c r="AU30" i="2"/>
  <c r="AW22" i="2"/>
  <c r="AX22" i="2" s="1"/>
  <c r="AY22" i="2" s="1"/>
  <c r="AT22" i="2"/>
  <c r="AV22" i="2"/>
  <c r="AU22" i="2"/>
  <c r="AU23" i="2"/>
  <c r="AV23" i="2"/>
  <c r="AW23" i="2"/>
  <c r="AX23" i="2" s="1"/>
  <c r="AY23" i="2" s="1"/>
  <c r="AT23" i="2"/>
  <c r="AT20" i="2"/>
  <c r="AV20" i="2"/>
  <c r="AW20" i="2"/>
  <c r="AU20" i="2"/>
  <c r="W190" i="2"/>
  <c r="X189" i="2"/>
  <c r="AV21" i="2"/>
  <c r="AT21" i="2"/>
  <c r="AU21" i="2"/>
  <c r="AW21" i="2"/>
  <c r="AX21" i="2" s="1"/>
  <c r="AY21" i="2" s="1"/>
  <c r="BC20" i="1"/>
  <c r="BE19" i="1"/>
  <c r="AW30" i="2"/>
  <c r="AV30" i="2"/>
  <c r="AT24" i="2"/>
  <c r="AU24" i="2"/>
  <c r="AW24" i="2"/>
  <c r="AV24" i="2"/>
  <c r="AW27" i="2"/>
  <c r="AV27" i="2"/>
  <c r="AU27" i="2"/>
  <c r="AV28" i="2"/>
  <c r="AU28" i="2"/>
  <c r="AU26" i="2"/>
  <c r="AT26" i="2"/>
  <c r="AW26" i="2"/>
  <c r="AV26" i="2"/>
  <c r="AT31" i="2"/>
  <c r="AX30" i="2" l="1"/>
  <c r="AY30" i="2" s="1"/>
  <c r="AX24" i="2"/>
  <c r="AY24" i="2" s="1"/>
  <c r="AX29" i="2"/>
  <c r="AY29" i="2" s="1"/>
  <c r="AX31" i="2"/>
  <c r="AY31" i="2" s="1"/>
  <c r="AX25" i="2"/>
  <c r="AY25" i="2" s="1"/>
  <c r="AX27" i="2"/>
  <c r="AY27" i="2" s="1"/>
  <c r="AX20" i="2"/>
  <c r="AY20" i="2" s="1"/>
  <c r="AX26" i="2"/>
  <c r="AY26" i="2" s="1"/>
  <c r="W24" i="1"/>
  <c r="X23" i="1"/>
  <c r="BC21" i="1"/>
  <c r="BE20" i="1"/>
  <c r="X190" i="2"/>
  <c r="W191" i="2"/>
  <c r="W25" i="1" l="1"/>
  <c r="X24" i="1"/>
  <c r="W192" i="2"/>
  <c r="X191" i="2"/>
  <c r="BE21" i="1"/>
  <c r="BC22" i="1"/>
  <c r="W26" i="1" l="1"/>
  <c r="X25" i="1"/>
  <c r="BC23" i="1"/>
  <c r="BE22" i="1"/>
  <c r="W193" i="2"/>
  <c r="X192" i="2"/>
  <c r="W27" i="1" l="1"/>
  <c r="X26" i="1"/>
  <c r="X193" i="2"/>
  <c r="W194" i="2"/>
  <c r="BE23" i="1"/>
  <c r="BC24" i="1"/>
  <c r="X27" i="1" l="1"/>
  <c r="W28" i="1"/>
  <c r="BC25" i="1"/>
  <c r="BE24" i="1"/>
  <c r="W195" i="2"/>
  <c r="X194" i="2"/>
  <c r="X28" i="1" l="1"/>
  <c r="W29" i="1"/>
  <c r="X195" i="2"/>
  <c r="W196" i="2"/>
  <c r="BE25" i="1"/>
  <c r="BC26" i="1"/>
  <c r="AC7" i="1" l="1"/>
  <c r="W30" i="1"/>
  <c r="X29" i="1"/>
  <c r="BE26" i="1"/>
  <c r="BC27" i="1"/>
  <c r="W197" i="2"/>
  <c r="X196" i="2"/>
  <c r="AC8" i="1" l="1"/>
  <c r="AC9" i="1" s="1"/>
  <c r="AC10" i="1" s="1"/>
  <c r="AC11" i="1" s="1"/>
  <c r="AC12" i="1" s="1"/>
  <c r="AC13" i="1" s="1"/>
  <c r="AC14" i="1" s="1"/>
  <c r="AC15" i="1" s="1"/>
  <c r="AC16" i="1" s="1"/>
  <c r="AC17" i="1" s="1"/>
  <c r="AC18" i="1" s="1"/>
  <c r="AC19" i="1" s="1"/>
  <c r="AC20" i="1" s="1"/>
  <c r="AC21" i="1" s="1"/>
  <c r="AC22" i="1" s="1"/>
  <c r="AC23" i="1" s="1"/>
  <c r="AC24" i="1" s="1"/>
  <c r="AC25" i="1" s="1"/>
  <c r="AC26" i="1" s="1"/>
  <c r="AC27" i="1" s="1"/>
  <c r="AC28" i="1" s="1"/>
  <c r="AC29" i="1" s="1"/>
  <c r="AC30" i="1" s="1"/>
  <c r="AC31" i="1" s="1"/>
  <c r="AC32" i="1" s="1"/>
  <c r="AC33" i="1" s="1"/>
  <c r="AC34" i="1" s="1"/>
  <c r="AC35" i="1" s="1"/>
  <c r="AC36" i="1" s="1"/>
  <c r="AC37" i="1" s="1"/>
  <c r="AC38" i="1" s="1"/>
  <c r="AC39" i="1" s="1"/>
  <c r="AC40" i="1" s="1"/>
  <c r="AC41" i="1" s="1"/>
  <c r="AC42" i="1" s="1"/>
  <c r="AC43" i="1" s="1"/>
  <c r="AC44" i="1" s="1"/>
  <c r="AC45" i="1" s="1"/>
  <c r="AC46" i="1" s="1"/>
  <c r="AC47" i="1" s="1"/>
  <c r="AC48" i="1" s="1"/>
  <c r="AC49" i="1" s="1"/>
  <c r="AC50" i="1" s="1"/>
  <c r="AC51" i="1" s="1"/>
  <c r="AC52" i="1" s="1"/>
  <c r="AC6" i="1"/>
  <c r="AC5" i="1"/>
  <c r="W31" i="1"/>
  <c r="X30" i="1"/>
  <c r="BE27" i="1"/>
  <c r="BC28" i="1"/>
  <c r="W198" i="2"/>
  <c r="AC7" i="2" s="1"/>
  <c r="X197" i="2"/>
  <c r="X31" i="1" l="1"/>
  <c r="W32" i="1"/>
  <c r="W199" i="2"/>
  <c r="X198" i="2"/>
  <c r="BC29" i="1"/>
  <c r="BE28" i="1"/>
  <c r="X32" i="1" l="1"/>
  <c r="W33" i="1"/>
  <c r="BE29" i="1"/>
  <c r="BC30" i="1"/>
  <c r="AC8" i="2"/>
  <c r="AC9" i="2" s="1"/>
  <c r="AC10" i="2" s="1"/>
  <c r="AC11" i="2" s="1"/>
  <c r="AC12" i="2" s="1"/>
  <c r="AC13" i="2" s="1"/>
  <c r="AC14" i="2" s="1"/>
  <c r="AC15" i="2" s="1"/>
  <c r="AC16" i="2" s="1"/>
  <c r="AC17" i="2" s="1"/>
  <c r="AC18" i="2" s="1"/>
  <c r="AC19" i="2" s="1"/>
  <c r="AC20" i="2" s="1"/>
  <c r="AC21" i="2" s="1"/>
  <c r="AC22" i="2" s="1"/>
  <c r="AC23" i="2" s="1"/>
  <c r="AC24" i="2" s="1"/>
  <c r="AC25" i="2" s="1"/>
  <c r="AC26" i="2" s="1"/>
  <c r="AC27" i="2" s="1"/>
  <c r="AC28" i="2" s="1"/>
  <c r="AC29" i="2" s="1"/>
  <c r="AC30" i="2" s="1"/>
  <c r="AC31" i="2" s="1"/>
  <c r="AC32" i="2" s="1"/>
  <c r="AC33" i="2" s="1"/>
  <c r="AC34" i="2" s="1"/>
  <c r="AC35" i="2" s="1"/>
  <c r="AC36" i="2" s="1"/>
  <c r="AC37" i="2" s="1"/>
  <c r="AC38" i="2" s="1"/>
  <c r="AC39" i="2" s="1"/>
  <c r="AC40" i="2" s="1"/>
  <c r="AC41" i="2" s="1"/>
  <c r="AC42" i="2" s="1"/>
  <c r="AC43" i="2" s="1"/>
  <c r="AC44" i="2" s="1"/>
  <c r="AC45" i="2" s="1"/>
  <c r="AC46" i="2" s="1"/>
  <c r="AC47" i="2" s="1"/>
  <c r="AC48" i="2" s="1"/>
  <c r="AC49" i="2" s="1"/>
  <c r="AC50" i="2" s="1"/>
  <c r="AC51" i="2" s="1"/>
  <c r="AC52" i="2" s="1"/>
  <c r="AI7" i="2"/>
  <c r="AH7" i="2"/>
  <c r="AG7" i="2"/>
  <c r="AF7" i="2"/>
  <c r="AC6" i="2"/>
  <c r="AC5" i="2"/>
  <c r="W200" i="2"/>
  <c r="X199" i="2"/>
  <c r="W34" i="1" l="1"/>
  <c r="X33" i="1"/>
  <c r="AI8" i="2"/>
  <c r="AI9" i="2" s="1"/>
  <c r="AI10" i="2" s="1"/>
  <c r="AI11" i="2" s="1"/>
  <c r="AI12" i="2" s="1"/>
  <c r="AI13" i="2" s="1"/>
  <c r="AI14" i="2" s="1"/>
  <c r="AI15" i="2" s="1"/>
  <c r="AI16" i="2" s="1"/>
  <c r="AI17" i="2" s="1"/>
  <c r="AI18" i="2" s="1"/>
  <c r="AI19" i="2" s="1"/>
  <c r="AI20" i="2" s="1"/>
  <c r="AI21" i="2" s="1"/>
  <c r="AI22" i="2" s="1"/>
  <c r="AI23" i="2" s="1"/>
  <c r="AI24" i="2" s="1"/>
  <c r="AI25" i="2" s="1"/>
  <c r="AI26" i="2" s="1"/>
  <c r="AI27" i="2" s="1"/>
  <c r="AI28" i="2" s="1"/>
  <c r="AI29" i="2" s="1"/>
  <c r="AI30" i="2" s="1"/>
  <c r="AI31" i="2" s="1"/>
  <c r="AI32" i="2" s="1"/>
  <c r="AI33" i="2" s="1"/>
  <c r="AI34" i="2" s="1"/>
  <c r="AI35" i="2" s="1"/>
  <c r="AI36" i="2" s="1"/>
  <c r="AI37" i="2" s="1"/>
  <c r="AI38" i="2" s="1"/>
  <c r="AI39" i="2" s="1"/>
  <c r="AI40" i="2" s="1"/>
  <c r="AI41" i="2" s="1"/>
  <c r="AI42" i="2" s="1"/>
  <c r="AI43" i="2" s="1"/>
  <c r="AI44" i="2" s="1"/>
  <c r="AI45" i="2" s="1"/>
  <c r="AI46" i="2" s="1"/>
  <c r="AI47" i="2" s="1"/>
  <c r="AI48" i="2" s="1"/>
  <c r="AI49" i="2" s="1"/>
  <c r="AI50" i="2" s="1"/>
  <c r="AI51" i="2" s="1"/>
  <c r="AI52" i="2" s="1"/>
  <c r="W201" i="2"/>
  <c r="X200" i="2"/>
  <c r="AK7" i="2"/>
  <c r="AG8" i="2"/>
  <c r="AL7" i="2"/>
  <c r="AH8" i="2"/>
  <c r="AG5" i="2"/>
  <c r="AK5" i="2" s="1"/>
  <c r="AF5" i="2"/>
  <c r="AJ5" i="2" s="1"/>
  <c r="AH5" i="2"/>
  <c r="AL5" i="2" s="1"/>
  <c r="AI5" i="2"/>
  <c r="AF6" i="2"/>
  <c r="AJ6" i="2" s="1"/>
  <c r="AH6" i="2"/>
  <c r="AL6" i="2" s="1"/>
  <c r="AG6" i="2"/>
  <c r="AK6" i="2" s="1"/>
  <c r="AI6" i="2"/>
  <c r="BC31" i="1"/>
  <c r="BE30" i="1"/>
  <c r="AF8" i="2"/>
  <c r="AJ7" i="2"/>
  <c r="X34" i="1" l="1"/>
  <c r="W35" i="1"/>
  <c r="AH9" i="2"/>
  <c r="AL8" i="2"/>
  <c r="AG9" i="2"/>
  <c r="AK8" i="2"/>
  <c r="AF9" i="2"/>
  <c r="AJ8" i="2"/>
  <c r="BE31" i="1"/>
  <c r="BC32" i="1"/>
  <c r="X201" i="2"/>
  <c r="W202" i="2"/>
  <c r="X35" i="1" l="1"/>
  <c r="W36" i="1"/>
  <c r="AF10" i="2"/>
  <c r="AJ9" i="2"/>
  <c r="W203" i="2"/>
  <c r="X202" i="2"/>
  <c r="AK9" i="2"/>
  <c r="AG10" i="2"/>
  <c r="BE32" i="1"/>
  <c r="BC33" i="1"/>
  <c r="AH10" i="2"/>
  <c r="AL9" i="2"/>
  <c r="W37" i="1" l="1"/>
  <c r="X36" i="1"/>
  <c r="AK10" i="2"/>
  <c r="AG11" i="2"/>
  <c r="W204" i="2"/>
  <c r="X203" i="2"/>
  <c r="BE33" i="1"/>
  <c r="BC34" i="1"/>
  <c r="AF11" i="2"/>
  <c r="AJ10" i="2"/>
  <c r="AL10" i="2"/>
  <c r="AH11" i="2"/>
  <c r="W38" i="1" l="1"/>
  <c r="X37" i="1"/>
  <c r="AK11" i="2"/>
  <c r="AG12" i="2"/>
  <c r="AL11" i="2"/>
  <c r="AH12" i="2"/>
  <c r="AJ11" i="2"/>
  <c r="AF12" i="2"/>
  <c r="W205" i="2"/>
  <c r="X204" i="2"/>
  <c r="BE34" i="1"/>
  <c r="BC35" i="1"/>
  <c r="X38" i="1" l="1"/>
  <c r="W39" i="1"/>
  <c r="X39" i="1" s="1"/>
  <c r="AG13" i="2"/>
  <c r="AK12" i="2"/>
  <c r="AH13" i="2"/>
  <c r="AL12" i="2"/>
  <c r="W206" i="2"/>
  <c r="X205" i="2"/>
  <c r="BE35" i="1"/>
  <c r="BC36" i="1"/>
  <c r="AF13" i="2"/>
  <c r="AJ12" i="2"/>
  <c r="W207" i="2" l="1"/>
  <c r="X206" i="2"/>
  <c r="AL13" i="2"/>
  <c r="AH14" i="2"/>
  <c r="AG14" i="2"/>
  <c r="AK13" i="2"/>
  <c r="AF14" i="2"/>
  <c r="AJ13" i="2"/>
  <c r="BC37" i="1"/>
  <c r="BE36" i="1"/>
  <c r="AK14" i="2" l="1"/>
  <c r="AG15" i="2"/>
  <c r="AF15" i="2"/>
  <c r="AJ14" i="2"/>
  <c r="AL14" i="2"/>
  <c r="AH15" i="2"/>
  <c r="BE37" i="1"/>
  <c r="BC38" i="1"/>
  <c r="W208" i="2"/>
  <c r="X208" i="2" s="1"/>
  <c r="X207" i="2"/>
  <c r="AJ15" i="2" l="1"/>
  <c r="AF16" i="2"/>
  <c r="AH16" i="2"/>
  <c r="AL15" i="2"/>
  <c r="BE38" i="1"/>
  <c r="BC39" i="1"/>
  <c r="AK15" i="2"/>
  <c r="AG16" i="2"/>
  <c r="AG17" i="2" l="1"/>
  <c r="AK16" i="2"/>
  <c r="BE39" i="1"/>
  <c r="BC40" i="1"/>
  <c r="AH17" i="2"/>
  <c r="AL16" i="2"/>
  <c r="AJ16" i="2"/>
  <c r="AF17" i="2"/>
  <c r="AJ17" i="2" l="1"/>
  <c r="AF18" i="2"/>
  <c r="AL17" i="2"/>
  <c r="AH18" i="2"/>
  <c r="BC41" i="1"/>
  <c r="BE40" i="1"/>
  <c r="AK17" i="2"/>
  <c r="AG18" i="2"/>
  <c r="BE41" i="1" l="1"/>
  <c r="BC42" i="1"/>
  <c r="AL18" i="2"/>
  <c r="AH19" i="2"/>
  <c r="AG19" i="2"/>
  <c r="AK18" i="2"/>
  <c r="AJ18" i="2"/>
  <c r="AF19" i="2"/>
  <c r="AL19" i="2" l="1"/>
  <c r="AH20" i="2"/>
  <c r="AF20" i="2"/>
  <c r="AJ19" i="2"/>
  <c r="AG20" i="2"/>
  <c r="AK19" i="2"/>
  <c r="BE42" i="1"/>
  <c r="BC43" i="1"/>
  <c r="AK20" i="2" l="1"/>
  <c r="AG21" i="2"/>
  <c r="BE43" i="1"/>
  <c r="BC44" i="1"/>
  <c r="AJ20" i="2"/>
  <c r="AF21" i="2"/>
  <c r="AH21" i="2"/>
  <c r="AL20" i="2"/>
  <c r="AJ21" i="2" l="1"/>
  <c r="AF22" i="2"/>
  <c r="BC45" i="1"/>
  <c r="BE44" i="1"/>
  <c r="AL21" i="2"/>
  <c r="AH22" i="2"/>
  <c r="AK21" i="2"/>
  <c r="AG22" i="2"/>
  <c r="AK22" i="2" l="1"/>
  <c r="AG23" i="2"/>
  <c r="AH23" i="2"/>
  <c r="AL22" i="2"/>
  <c r="BE45" i="1"/>
  <c r="BC46" i="1"/>
  <c r="AF23" i="2"/>
  <c r="AJ22" i="2"/>
  <c r="AJ23" i="2" l="1"/>
  <c r="AF24" i="2"/>
  <c r="BE46" i="1"/>
  <c r="BC47" i="1"/>
  <c r="AH24" i="2"/>
  <c r="AL23" i="2"/>
  <c r="AK23" i="2"/>
  <c r="AG24" i="2"/>
  <c r="AG25" i="2" l="1"/>
  <c r="AK24" i="2"/>
  <c r="AF25" i="2"/>
  <c r="AJ24" i="2"/>
  <c r="AH25" i="2"/>
  <c r="AL24" i="2"/>
  <c r="BE47" i="1"/>
  <c r="BC48" i="1"/>
  <c r="AL25" i="2" l="1"/>
  <c r="AH26" i="2"/>
  <c r="BC49" i="1"/>
  <c r="BE48" i="1"/>
  <c r="AF26" i="2"/>
  <c r="AJ25" i="2"/>
  <c r="AK25" i="2"/>
  <c r="AG26" i="2"/>
  <c r="AK26" i="2" l="1"/>
  <c r="AG27" i="2"/>
  <c r="AH27" i="2"/>
  <c r="AL26" i="2"/>
  <c r="AF27" i="2"/>
  <c r="AJ26" i="2"/>
  <c r="BC50" i="1"/>
  <c r="BE49" i="1"/>
  <c r="AJ27" i="2" l="1"/>
  <c r="AF28" i="2"/>
  <c r="BE50" i="1"/>
  <c r="BC51" i="1"/>
  <c r="AL27" i="2"/>
  <c r="AH28" i="2"/>
  <c r="AG28" i="2"/>
  <c r="AK27" i="2"/>
  <c r="AK28" i="2" l="1"/>
  <c r="AG29" i="2"/>
  <c r="BC52" i="1"/>
  <c r="BE51" i="1"/>
  <c r="AH29" i="2"/>
  <c r="AL28" i="2"/>
  <c r="AJ28" i="2"/>
  <c r="AF29" i="2"/>
  <c r="AH30" i="2" l="1"/>
  <c r="AL29" i="2"/>
  <c r="AJ29" i="2"/>
  <c r="AF30" i="2"/>
  <c r="BC53" i="1"/>
  <c r="BE52" i="1"/>
  <c r="AK29" i="2"/>
  <c r="AG30" i="2"/>
  <c r="AG31" i="2" l="1"/>
  <c r="AK30" i="2"/>
  <c r="BE53" i="1"/>
  <c r="BC54" i="1"/>
  <c r="AJ30" i="2"/>
  <c r="AF31" i="2"/>
  <c r="AL30" i="2"/>
  <c r="AH31" i="2"/>
  <c r="BC55" i="1" l="1"/>
  <c r="BE54" i="1"/>
  <c r="AL31" i="2"/>
  <c r="AH32" i="2"/>
  <c r="AF32" i="2"/>
  <c r="AJ31" i="2"/>
  <c r="AG32" i="2"/>
  <c r="AK31" i="2"/>
  <c r="AH33" i="2" l="1"/>
  <c r="AL32" i="2"/>
  <c r="AK32" i="2"/>
  <c r="AG33" i="2"/>
  <c r="AJ32" i="2"/>
  <c r="AF33" i="2"/>
  <c r="BC56" i="1"/>
  <c r="BE55" i="1"/>
  <c r="BE56" i="1" l="1"/>
  <c r="BC57" i="1"/>
  <c r="AF34" i="2"/>
  <c r="AJ33" i="2"/>
  <c r="AG34" i="2"/>
  <c r="AK33" i="2"/>
  <c r="AL33" i="2"/>
  <c r="AH34" i="2"/>
  <c r="AJ34" i="2" l="1"/>
  <c r="AF35" i="2"/>
  <c r="AH35" i="2"/>
  <c r="AL34" i="2"/>
  <c r="BC58" i="1"/>
  <c r="BE57" i="1"/>
  <c r="AK34" i="2"/>
  <c r="AG35" i="2"/>
  <c r="AK35" i="2" l="1"/>
  <c r="AG36" i="2"/>
  <c r="AL35" i="2"/>
  <c r="AH36" i="2"/>
  <c r="AF36" i="2"/>
  <c r="AJ35" i="2"/>
  <c r="BE58" i="1"/>
  <c r="BC59" i="1"/>
  <c r="BC60" i="1" l="1"/>
  <c r="BE59" i="1"/>
  <c r="AJ36" i="2"/>
  <c r="AF37" i="2"/>
  <c r="AH37" i="2"/>
  <c r="AL36" i="2"/>
  <c r="AG37" i="2"/>
  <c r="AK36" i="2"/>
  <c r="BC61" i="1" l="1"/>
  <c r="BE60" i="1"/>
  <c r="AG38" i="2"/>
  <c r="AK37" i="2"/>
  <c r="AH38" i="2"/>
  <c r="AL37" i="2"/>
  <c r="AF38" i="2"/>
  <c r="AJ37" i="2"/>
  <c r="AL38" i="2" l="1"/>
  <c r="AH39" i="2"/>
  <c r="BE61" i="1"/>
  <c r="BC62" i="1"/>
  <c r="AF39" i="2"/>
  <c r="AJ38" i="2"/>
  <c r="AG39" i="2"/>
  <c r="AK38" i="2"/>
  <c r="AK39" i="2" l="1"/>
  <c r="AG40" i="2"/>
  <c r="AF40" i="2"/>
  <c r="AJ39" i="2"/>
  <c r="BC63" i="1"/>
  <c r="BE62" i="1"/>
  <c r="AH40" i="2"/>
  <c r="AL39" i="2"/>
  <c r="AL40" i="2" l="1"/>
  <c r="AH41" i="2"/>
  <c r="BC64" i="1"/>
  <c r="BE63" i="1"/>
  <c r="AJ40" i="2"/>
  <c r="AF41" i="2"/>
  <c r="AG41" i="2"/>
  <c r="AK40" i="2"/>
  <c r="AK41" i="2" l="1"/>
  <c r="AG42" i="2"/>
  <c r="AF42" i="2"/>
  <c r="AJ41" i="2"/>
  <c r="BC65" i="1"/>
  <c r="BE64" i="1"/>
  <c r="AH42" i="2"/>
  <c r="AL41" i="2"/>
  <c r="AL42" i="2" l="1"/>
  <c r="AH43" i="2"/>
  <c r="BE65" i="1"/>
  <c r="BC66" i="1"/>
  <c r="AF43" i="2"/>
  <c r="AJ42" i="2"/>
  <c r="AG43" i="2"/>
  <c r="AK42" i="2"/>
  <c r="BC67" i="1" l="1"/>
  <c r="BE66" i="1"/>
  <c r="AK43" i="2"/>
  <c r="AG44" i="2"/>
  <c r="AJ43" i="2"/>
  <c r="AF44" i="2"/>
  <c r="AH44" i="2"/>
  <c r="AL43" i="2"/>
  <c r="AH45" i="2" l="1"/>
  <c r="AL44" i="2"/>
  <c r="BC68" i="1"/>
  <c r="BE67" i="1"/>
  <c r="AJ44" i="2"/>
  <c r="AF45" i="2"/>
  <c r="AG45" i="2"/>
  <c r="AK44" i="2"/>
  <c r="BC69" i="1" l="1"/>
  <c r="BE68" i="1"/>
  <c r="AL45" i="2"/>
  <c r="AH46" i="2"/>
  <c r="AK45" i="2"/>
  <c r="AG46" i="2"/>
  <c r="AF46" i="2"/>
  <c r="AJ45" i="2"/>
  <c r="AF47" i="2" l="1"/>
  <c r="AJ46" i="2"/>
  <c r="AK46" i="2"/>
  <c r="AG47" i="2"/>
  <c r="AL46" i="2"/>
  <c r="AH47" i="2"/>
  <c r="BE69" i="1"/>
  <c r="BC70" i="1"/>
  <c r="AH48" i="2" l="1"/>
  <c r="AL47" i="2"/>
  <c r="AK47" i="2"/>
  <c r="AG48" i="2"/>
  <c r="BC71" i="1"/>
  <c r="BE70" i="1"/>
  <c r="AJ47" i="2"/>
  <c r="AF48" i="2"/>
  <c r="AK48" i="2" l="1"/>
  <c r="AG49" i="2"/>
  <c r="AJ48" i="2"/>
  <c r="AF49" i="2"/>
  <c r="BC72" i="1"/>
  <c r="BE71" i="1"/>
  <c r="AH49" i="2"/>
  <c r="AL48" i="2"/>
  <c r="AH50" i="2" l="1"/>
  <c r="AL49" i="2"/>
  <c r="BE72" i="1"/>
  <c r="BC73" i="1"/>
  <c r="AG50" i="2"/>
  <c r="AK49" i="2"/>
  <c r="AJ49" i="2"/>
  <c r="AF50" i="2"/>
  <c r="AK50" i="2" l="1"/>
  <c r="AG51" i="2"/>
  <c r="BE73" i="1"/>
  <c r="BC74" i="1"/>
  <c r="AF51" i="2"/>
  <c r="AJ50" i="2"/>
  <c r="AL50" i="2"/>
  <c r="AH51" i="2"/>
  <c r="AH52" i="2" l="1"/>
  <c r="AL51" i="2"/>
  <c r="AJ51" i="2"/>
  <c r="AF52" i="2"/>
  <c r="BC75" i="1"/>
  <c r="BE74" i="1"/>
  <c r="AG52" i="2"/>
  <c r="AK51" i="2"/>
  <c r="AK52" i="2" l="1"/>
  <c r="S5" i="2" s="1"/>
  <c r="S4" i="2"/>
  <c r="BC76" i="1"/>
  <c r="BE75" i="1"/>
  <c r="AJ52" i="2"/>
  <c r="R5" i="2" s="1"/>
  <c r="R4" i="2"/>
  <c r="AL52" i="2"/>
  <c r="T5" i="2" s="1"/>
  <c r="T4" i="2"/>
  <c r="BE76" i="1" l="1"/>
  <c r="BC77" i="1"/>
  <c r="BC78" i="1" l="1"/>
  <c r="BE77" i="1"/>
  <c r="BC79" i="1" l="1"/>
  <c r="BE78" i="1"/>
  <c r="BE79" i="1" l="1"/>
  <c r="BC80" i="1"/>
  <c r="BE80" i="1" l="1"/>
  <c r="BC81" i="1"/>
  <c r="BC82" i="1" l="1"/>
  <c r="BE81" i="1"/>
  <c r="BE82" i="1" l="1"/>
  <c r="BC83" i="1"/>
  <c r="BE83" i="1" l="1"/>
  <c r="BC84" i="1"/>
  <c r="BC85" i="1" l="1"/>
  <c r="BE84" i="1"/>
  <c r="BC86" i="1" l="1"/>
  <c r="BE85" i="1"/>
  <c r="BE86" i="1" l="1"/>
  <c r="BC87" i="1"/>
  <c r="BC88" i="1" l="1"/>
  <c r="BE87" i="1"/>
  <c r="BE88" i="1" l="1"/>
  <c r="BC89" i="1"/>
  <c r="BC90" i="1" l="1"/>
  <c r="BE89" i="1"/>
  <c r="BC91" i="1" l="1"/>
  <c r="BE90" i="1"/>
  <c r="BC92" i="1" l="1"/>
  <c r="BE91" i="1"/>
  <c r="BC93" i="1" l="1"/>
  <c r="BE92" i="1"/>
  <c r="BC94" i="1" l="1"/>
  <c r="BE93" i="1"/>
  <c r="BC95" i="1" l="1"/>
  <c r="BE94" i="1"/>
  <c r="BC96" i="1" l="1"/>
  <c r="BE95" i="1"/>
  <c r="BE96" i="1" l="1"/>
  <c r="BC97" i="1"/>
  <c r="BC98" i="1" l="1"/>
  <c r="BE97" i="1"/>
  <c r="BE98" i="1" l="1"/>
  <c r="BC99" i="1"/>
  <c r="BC100" i="1" l="1"/>
  <c r="BE99" i="1"/>
  <c r="BC101" i="1" l="1"/>
  <c r="BE100" i="1"/>
  <c r="BC102" i="1" l="1"/>
  <c r="BE101" i="1"/>
  <c r="BC103" i="1" l="1"/>
  <c r="BE102" i="1"/>
  <c r="BC104" i="1" l="1"/>
  <c r="BE103" i="1"/>
  <c r="BE104" i="1" l="1"/>
  <c r="BC105" i="1"/>
  <c r="BC106" i="1" l="1"/>
  <c r="BE105" i="1"/>
  <c r="BC107" i="1" l="1"/>
  <c r="BE106" i="1"/>
  <c r="BE107" i="1" l="1"/>
  <c r="BC108" i="1"/>
  <c r="BC109" i="1" l="1"/>
  <c r="BE108" i="1"/>
  <c r="BC110" i="1" l="1"/>
  <c r="BE109" i="1"/>
  <c r="BC111" i="1" l="1"/>
  <c r="BE110" i="1"/>
  <c r="BC112" i="1" l="1"/>
  <c r="BE111" i="1"/>
  <c r="BE112" i="1" l="1"/>
  <c r="BC113" i="1"/>
  <c r="BC114" i="1" l="1"/>
  <c r="BE113" i="1"/>
  <c r="BC115" i="1" l="1"/>
  <c r="BE114" i="1"/>
  <c r="BE115" i="1" l="1"/>
  <c r="BC116" i="1"/>
  <c r="BC117" i="1" l="1"/>
  <c r="BE116" i="1"/>
  <c r="BC118" i="1" l="1"/>
  <c r="BE117" i="1"/>
  <c r="BE118" i="1" l="1"/>
  <c r="BC119" i="1"/>
  <c r="BE119" i="1" l="1"/>
  <c r="BC120" i="1"/>
  <c r="BE120" i="1" l="1"/>
  <c r="BC121" i="1"/>
  <c r="BE121" i="1" l="1"/>
  <c r="BC122" i="1"/>
  <c r="BC123" i="1" l="1"/>
  <c r="BE122" i="1"/>
  <c r="BC124" i="1" l="1"/>
  <c r="BE123" i="1"/>
  <c r="BE124" i="1" l="1"/>
  <c r="BC125" i="1"/>
  <c r="BC126" i="1" l="1"/>
  <c r="BE125" i="1"/>
  <c r="BC127" i="1" l="1"/>
  <c r="BE126" i="1"/>
  <c r="BE127" i="1" l="1"/>
  <c r="BC128" i="1"/>
  <c r="BE128" i="1" l="1"/>
  <c r="BC129" i="1"/>
  <c r="BC130" i="1" l="1"/>
  <c r="BE129" i="1"/>
  <c r="BE130" i="1" l="1"/>
  <c r="BC131" i="1"/>
  <c r="BE131" i="1" l="1"/>
  <c r="BC132" i="1"/>
  <c r="BC133" i="1" l="1"/>
  <c r="BE132" i="1"/>
  <c r="BC134" i="1" l="1"/>
  <c r="BE133" i="1"/>
  <c r="BC135" i="1" l="1"/>
  <c r="BE134" i="1"/>
  <c r="BE135" i="1" l="1"/>
  <c r="BC136" i="1"/>
  <c r="BE136" i="1" l="1"/>
  <c r="BC137" i="1"/>
  <c r="BC138" i="1" l="1"/>
  <c r="BE137" i="1"/>
  <c r="BC139" i="1" l="1"/>
  <c r="BE138" i="1"/>
  <c r="BC140" i="1" l="1"/>
  <c r="BE139" i="1"/>
  <c r="BC141" i="1" l="1"/>
  <c r="BE140" i="1"/>
  <c r="BC142" i="1" l="1"/>
  <c r="BE141" i="1"/>
  <c r="BC143" i="1" l="1"/>
  <c r="BE142" i="1"/>
  <c r="BE143" i="1" l="1"/>
  <c r="BC144" i="1"/>
  <c r="BE144" i="1" l="1"/>
  <c r="BC145" i="1"/>
  <c r="BC146" i="1" l="1"/>
  <c r="BE145" i="1"/>
  <c r="BC147" i="1" l="1"/>
  <c r="BE146" i="1"/>
  <c r="BE147" i="1" l="1"/>
  <c r="BC148" i="1"/>
  <c r="BC149" i="1" l="1"/>
  <c r="BE148" i="1"/>
  <c r="BC150" i="1" l="1"/>
  <c r="BE149" i="1"/>
  <c r="BC151" i="1" l="1"/>
  <c r="BE150" i="1"/>
  <c r="BC152" i="1" l="1"/>
  <c r="BE151" i="1"/>
  <c r="BE152" i="1" l="1"/>
  <c r="BC153" i="1"/>
  <c r="BC154" i="1" l="1"/>
  <c r="BE153" i="1"/>
  <c r="BC155" i="1" l="1"/>
  <c r="BE154" i="1"/>
  <c r="BC156" i="1" l="1"/>
  <c r="BE155" i="1"/>
  <c r="BE156" i="1" l="1"/>
  <c r="BC157" i="1"/>
  <c r="BC158" i="1" l="1"/>
  <c r="BE157" i="1"/>
  <c r="BE158" i="1" l="1"/>
  <c r="BC159" i="1"/>
  <c r="BE159" i="1" l="1"/>
  <c r="BC160" i="1"/>
  <c r="BE160" i="1" l="1"/>
  <c r="BC161" i="1"/>
  <c r="BE161" i="1" l="1"/>
  <c r="BC162" i="1"/>
  <c r="BC163" i="1" l="1"/>
  <c r="BE162" i="1"/>
  <c r="BC164" i="1" l="1"/>
  <c r="BE163" i="1"/>
  <c r="BC165" i="1" l="1"/>
  <c r="BE164" i="1"/>
  <c r="BC166" i="1" l="1"/>
  <c r="BE165" i="1"/>
  <c r="BC167" i="1" l="1"/>
  <c r="BE166" i="1"/>
  <c r="BC168" i="1" l="1"/>
  <c r="BE167" i="1"/>
  <c r="BE168" i="1" l="1"/>
  <c r="BC169" i="1"/>
  <c r="BC170" i="1" l="1"/>
  <c r="BE169" i="1"/>
  <c r="BE170" i="1" l="1"/>
  <c r="BC171" i="1"/>
  <c r="BC172" i="1" l="1"/>
  <c r="BE171" i="1"/>
  <c r="BC173" i="1" l="1"/>
  <c r="BE172" i="1"/>
  <c r="BC174" i="1" l="1"/>
  <c r="BE173" i="1"/>
  <c r="BC175" i="1" l="1"/>
  <c r="BE174" i="1"/>
  <c r="BC176" i="1" l="1"/>
  <c r="BE175" i="1"/>
  <c r="BE176" i="1" l="1"/>
  <c r="BC177" i="1"/>
  <c r="BC178" i="1" l="1"/>
  <c r="BE177" i="1"/>
  <c r="BC179" i="1" l="1"/>
  <c r="BE178" i="1"/>
  <c r="BE179" i="1" l="1"/>
  <c r="BC180" i="1"/>
  <c r="BE180" i="1" l="1"/>
  <c r="BC181" i="1"/>
  <c r="BC182" i="1" l="1"/>
  <c r="BE181" i="1"/>
  <c r="BE182" i="1" l="1"/>
  <c r="BC183" i="1"/>
  <c r="BC184" i="1" l="1"/>
  <c r="BE183" i="1"/>
  <c r="BE184" i="1" l="1"/>
  <c r="BC185" i="1"/>
  <c r="BE185" i="1" l="1"/>
  <c r="BC186" i="1"/>
  <c r="BC187" i="1" l="1"/>
  <c r="BE186" i="1"/>
  <c r="BC188" i="1" l="1"/>
  <c r="BE187" i="1"/>
  <c r="BE188" i="1" l="1"/>
  <c r="BC189" i="1"/>
  <c r="BC190" i="1" l="1"/>
  <c r="BE189" i="1"/>
  <c r="BC191" i="1" l="1"/>
  <c r="BE190" i="1"/>
  <c r="BE191" i="1" l="1"/>
  <c r="BC192" i="1"/>
  <c r="BE192" i="1" l="1"/>
  <c r="BC193" i="1"/>
  <c r="BE193" i="1" l="1"/>
  <c r="BC194" i="1"/>
  <c r="BE194" i="1" l="1"/>
  <c r="BC195" i="1"/>
  <c r="BC196" i="1" l="1"/>
  <c r="BE195" i="1"/>
  <c r="BC197" i="1" l="1"/>
  <c r="BE196" i="1"/>
  <c r="BC198" i="1" l="1"/>
  <c r="BE197" i="1"/>
  <c r="BE198" i="1" l="1"/>
  <c r="BC199" i="1"/>
  <c r="BC200" i="1" l="1"/>
  <c r="BE199" i="1"/>
  <c r="BE200" i="1" l="1"/>
  <c r="BC201" i="1"/>
  <c r="BC202" i="1" l="1"/>
  <c r="BE201" i="1"/>
  <c r="BE202" i="1" l="1"/>
  <c r="BC203" i="1"/>
  <c r="BC204" i="1" l="1"/>
  <c r="BE203" i="1"/>
  <c r="BE204" i="1" l="1"/>
  <c r="BC205" i="1"/>
  <c r="BC206" i="1" l="1"/>
  <c r="BE205" i="1"/>
  <c r="BC207" i="1" l="1"/>
  <c r="BE206" i="1"/>
  <c r="BE207" i="1" l="1"/>
  <c r="BC208" i="1"/>
  <c r="BE208" i="1" l="1"/>
  <c r="BC209" i="1"/>
  <c r="BC210" i="1" l="1"/>
  <c r="BE209" i="1"/>
  <c r="BE210" i="1" l="1"/>
  <c r="BC211" i="1"/>
  <c r="BC212" i="1" l="1"/>
  <c r="BE211" i="1"/>
  <c r="BC213" i="1" l="1"/>
  <c r="BE212" i="1"/>
  <c r="BC214" i="1" l="1"/>
  <c r="BE213" i="1"/>
  <c r="BC215" i="1" l="1"/>
  <c r="BE214" i="1"/>
  <c r="BC216" i="1" l="1"/>
  <c r="BE215" i="1"/>
  <c r="BE216" i="1" l="1"/>
  <c r="BC217" i="1"/>
  <c r="BC218" i="1" l="1"/>
  <c r="BE217" i="1"/>
  <c r="BC219" i="1" l="1"/>
  <c r="BE218" i="1"/>
  <c r="BC220" i="1" l="1"/>
  <c r="BE219" i="1"/>
  <c r="BE220" i="1" l="1"/>
  <c r="BC221" i="1"/>
  <c r="BC222" i="1" l="1"/>
  <c r="BE221" i="1"/>
  <c r="BE222" i="1" l="1"/>
  <c r="BC223" i="1"/>
  <c r="BC224" i="1" l="1"/>
  <c r="BE223" i="1"/>
  <c r="BE224" i="1" l="1"/>
  <c r="BC225" i="1"/>
  <c r="BC226" i="1" l="1"/>
  <c r="BE225" i="1"/>
  <c r="BC227" i="1" l="1"/>
  <c r="BE226" i="1"/>
  <c r="BC228" i="1" l="1"/>
  <c r="BE227" i="1"/>
  <c r="BC229" i="1" l="1"/>
  <c r="BE228" i="1"/>
  <c r="BC230" i="1" l="1"/>
  <c r="BE229" i="1"/>
  <c r="BC231" i="1" l="1"/>
  <c r="BE230" i="1"/>
  <c r="BE231" i="1" l="1"/>
  <c r="BC232" i="1"/>
  <c r="BE232" i="1" l="1"/>
  <c r="BC233" i="1"/>
  <c r="BC234" i="1" l="1"/>
  <c r="BE233" i="1"/>
  <c r="BE234" i="1" l="1"/>
  <c r="BC235" i="1"/>
  <c r="BE235" i="1" l="1"/>
  <c r="BC236" i="1"/>
  <c r="BC237" i="1" l="1"/>
  <c r="BE236" i="1"/>
  <c r="BC238" i="1" l="1"/>
  <c r="BE237" i="1"/>
  <c r="BE238" i="1" l="1"/>
  <c r="BC239" i="1"/>
  <c r="BC240" i="1" l="1"/>
  <c r="BE239" i="1"/>
  <c r="BE240" i="1" l="1"/>
  <c r="BC241" i="1"/>
  <c r="BC242" i="1" l="1"/>
  <c r="BE241" i="1"/>
  <c r="BC243" i="1" l="1"/>
  <c r="BE242" i="1"/>
  <c r="BE243" i="1" l="1"/>
  <c r="BC244" i="1"/>
  <c r="BC245" i="1" l="1"/>
  <c r="BE244" i="1"/>
  <c r="BC246" i="1" l="1"/>
  <c r="BE245" i="1"/>
  <c r="BE246" i="1" l="1"/>
  <c r="BC247" i="1"/>
  <c r="BE247" i="1" l="1"/>
  <c r="BC248" i="1"/>
  <c r="BE248" i="1" l="1"/>
  <c r="BC249" i="1"/>
  <c r="BE249" i="1" l="1"/>
  <c r="BC250" i="1"/>
  <c r="BC251" i="1" l="1"/>
  <c r="BE250" i="1"/>
  <c r="BC252" i="1" l="1"/>
  <c r="BE251" i="1"/>
  <c r="BE252" i="1" l="1"/>
  <c r="BC253" i="1"/>
  <c r="BC254" i="1" l="1"/>
  <c r="BE253" i="1"/>
  <c r="BC255" i="1" l="1"/>
  <c r="BE254" i="1"/>
  <c r="BE255" i="1" l="1"/>
  <c r="BC256" i="1"/>
  <c r="BE256" i="1" l="1"/>
  <c r="BC257" i="1"/>
  <c r="BE257" i="1" l="1"/>
  <c r="BC258" i="1"/>
  <c r="BE258" i="1" l="1"/>
  <c r="BC259" i="1"/>
  <c r="BE259" i="1" l="1"/>
  <c r="BC260" i="1"/>
  <c r="BC261" i="1" l="1"/>
  <c r="BE260" i="1"/>
  <c r="BC262" i="1" l="1"/>
  <c r="BE261" i="1"/>
  <c r="BC263" i="1" l="1"/>
  <c r="BE262" i="1"/>
  <c r="BC264" i="1" l="1"/>
  <c r="BE263" i="1"/>
  <c r="BE264" i="1" l="1"/>
  <c r="BC265" i="1"/>
  <c r="BE265" i="1" l="1"/>
  <c r="BC266" i="1"/>
  <c r="BC267" i="1" l="1"/>
  <c r="BE266" i="1"/>
  <c r="BC268" i="1" l="1"/>
  <c r="BE267" i="1"/>
  <c r="BE268" i="1" l="1"/>
  <c r="BC269" i="1"/>
  <c r="BC270" i="1" l="1"/>
  <c r="BE269" i="1"/>
  <c r="BC271" i="1" l="1"/>
  <c r="BE270" i="1"/>
  <c r="BE271" i="1" l="1"/>
  <c r="BC272" i="1"/>
  <c r="BE272" i="1" l="1"/>
  <c r="BC273" i="1"/>
  <c r="BC274" i="1" l="1"/>
  <c r="BE273" i="1"/>
  <c r="BC275" i="1" l="1"/>
  <c r="BE274" i="1"/>
  <c r="BC276" i="1" l="1"/>
  <c r="BE275" i="1"/>
  <c r="BC277" i="1" l="1"/>
  <c r="BE276" i="1"/>
  <c r="BC278" i="1" l="1"/>
  <c r="BE277" i="1"/>
  <c r="BC279" i="1" l="1"/>
  <c r="BE278" i="1"/>
  <c r="BC280" i="1" l="1"/>
  <c r="BE279" i="1"/>
  <c r="BE280" i="1" l="1"/>
  <c r="BC281" i="1"/>
  <c r="BE281" i="1" l="1"/>
  <c r="BC282" i="1"/>
  <c r="BC283" i="1" l="1"/>
  <c r="BE282" i="1"/>
  <c r="BE283" i="1" l="1"/>
  <c r="BC284" i="1"/>
  <c r="BC285" i="1" l="1"/>
  <c r="BE284" i="1"/>
  <c r="BC286" i="1" l="1"/>
  <c r="BE285" i="1"/>
  <c r="BC287" i="1" l="1"/>
  <c r="BE286" i="1"/>
  <c r="BC288" i="1" l="1"/>
  <c r="BE287" i="1"/>
  <c r="BE288" i="1" l="1"/>
  <c r="BC289" i="1"/>
  <c r="BC290" i="1" l="1"/>
  <c r="BE289" i="1"/>
  <c r="BC291" i="1" l="1"/>
  <c r="BE290" i="1"/>
  <c r="BC292" i="1" l="1"/>
  <c r="BE291" i="1"/>
  <c r="BC293" i="1" l="1"/>
  <c r="BE292" i="1"/>
  <c r="BC294" i="1" l="1"/>
  <c r="BE293" i="1"/>
  <c r="BC295" i="1" l="1"/>
  <c r="BE294" i="1"/>
  <c r="BC296" i="1" l="1"/>
  <c r="BE295" i="1"/>
  <c r="BE296" i="1" l="1"/>
  <c r="BC297" i="1"/>
  <c r="BC298" i="1" l="1"/>
  <c r="BE297" i="1"/>
  <c r="BC299" i="1" l="1"/>
  <c r="BE298" i="1"/>
  <c r="BC300" i="1" l="1"/>
  <c r="BE299" i="1"/>
  <c r="BC301" i="1" l="1"/>
  <c r="BE300" i="1"/>
  <c r="BC302" i="1" l="1"/>
  <c r="BE301" i="1"/>
  <c r="BC303" i="1" l="1"/>
  <c r="BE302" i="1"/>
  <c r="BC304" i="1" l="1"/>
  <c r="BE303" i="1"/>
  <c r="AO6" i="1"/>
  <c r="AP6" i="1" s="1"/>
  <c r="AQ6" i="1" s="1"/>
  <c r="AN7" i="1" s="1"/>
  <c r="BE304" i="1" l="1"/>
  <c r="BC305" i="1"/>
  <c r="BC306" i="1" l="1"/>
  <c r="BE305" i="1"/>
  <c r="BC307" i="1" l="1"/>
  <c r="BE306" i="1"/>
  <c r="BE307" i="1" l="1"/>
  <c r="BC308" i="1"/>
  <c r="BC309" i="1" l="1"/>
  <c r="BE308" i="1"/>
  <c r="BC310" i="1" l="1"/>
  <c r="BE309" i="1"/>
  <c r="BE310" i="1" l="1"/>
  <c r="BC311" i="1"/>
  <c r="BE311" i="1" l="1"/>
  <c r="BC312" i="1"/>
  <c r="BE312" i="1" l="1"/>
  <c r="BC313" i="1"/>
  <c r="BE313" i="1" l="1"/>
  <c r="BC314" i="1"/>
  <c r="BE314" i="1" l="1"/>
  <c r="BC315" i="1"/>
  <c r="BC316" i="1" l="1"/>
  <c r="BE315" i="1"/>
  <c r="BE316" i="1" l="1"/>
  <c r="BC317" i="1"/>
  <c r="BC318" i="1" l="1"/>
  <c r="BE317" i="1"/>
  <c r="BC319" i="1" l="1"/>
  <c r="BE318" i="1"/>
  <c r="BE319" i="1" l="1"/>
  <c r="BC320" i="1"/>
  <c r="BE320" i="1" l="1"/>
  <c r="BC321" i="1"/>
  <c r="BC322" i="1" l="1"/>
  <c r="BE321" i="1"/>
  <c r="BE322" i="1" l="1"/>
  <c r="BC323" i="1"/>
  <c r="BC324" i="1" l="1"/>
  <c r="BE323" i="1"/>
  <c r="BE324" i="1" l="1"/>
  <c r="BC325" i="1"/>
  <c r="BC326" i="1" l="1"/>
  <c r="BE325" i="1"/>
  <c r="BE326" i="1" l="1"/>
  <c r="BC327" i="1"/>
  <c r="BC328" i="1" l="1"/>
  <c r="BE327" i="1"/>
  <c r="BE328" i="1" l="1"/>
  <c r="BC329" i="1"/>
  <c r="BC330" i="1" l="1"/>
  <c r="BE329" i="1"/>
  <c r="BE330" i="1" l="1"/>
  <c r="BC331" i="1"/>
  <c r="BC332" i="1" l="1"/>
  <c r="BE331" i="1"/>
  <c r="BC333" i="1" l="1"/>
  <c r="BE332" i="1"/>
  <c r="BC334" i="1" l="1"/>
  <c r="BE333" i="1"/>
  <c r="BC335" i="1" l="1"/>
  <c r="BE334" i="1"/>
  <c r="BE335" i="1" l="1"/>
  <c r="BC336" i="1"/>
  <c r="BE336" i="1" l="1"/>
  <c r="BC337" i="1"/>
  <c r="BC338" i="1" l="1"/>
  <c r="BE337" i="1"/>
  <c r="BE338" i="1" l="1"/>
  <c r="BC339" i="1"/>
  <c r="BC340" i="1" l="1"/>
  <c r="BE339" i="1"/>
  <c r="BC341" i="1" l="1"/>
  <c r="BE340" i="1"/>
  <c r="BC342" i="1" l="1"/>
  <c r="BE341" i="1"/>
  <c r="BE342" i="1" l="1"/>
  <c r="BC343" i="1"/>
  <c r="BC344" i="1" l="1"/>
  <c r="BE343" i="1"/>
  <c r="BE344" i="1" l="1"/>
  <c r="BC345" i="1"/>
  <c r="BC346" i="1" l="1"/>
  <c r="BE345" i="1"/>
  <c r="BC347" i="1" l="1"/>
  <c r="BE346" i="1"/>
  <c r="BE347" i="1" l="1"/>
  <c r="BC348" i="1"/>
  <c r="BC349" i="1" l="1"/>
  <c r="BE348" i="1"/>
  <c r="BC350" i="1" l="1"/>
  <c r="BE349" i="1"/>
  <c r="BC351" i="1" l="1"/>
  <c r="BE350" i="1"/>
  <c r="BE351" i="1" l="1"/>
  <c r="BC352" i="1"/>
  <c r="BE352" i="1" l="1"/>
  <c r="BC353" i="1"/>
  <c r="BE353" i="1" l="1"/>
  <c r="BC354" i="1"/>
  <c r="BE354" i="1" l="1"/>
  <c r="BC355" i="1"/>
  <c r="BC356" i="1" l="1"/>
  <c r="BE355" i="1"/>
  <c r="BE356" i="1" l="1"/>
  <c r="BC357" i="1"/>
  <c r="BC358" i="1" l="1"/>
  <c r="BE357" i="1"/>
  <c r="BC359" i="1" l="1"/>
  <c r="BE358" i="1"/>
  <c r="BC360" i="1" l="1"/>
  <c r="BE359" i="1"/>
  <c r="BE360" i="1" l="1"/>
  <c r="BC361" i="1"/>
  <c r="BC362" i="1" l="1"/>
  <c r="BE361" i="1"/>
  <c r="BC363" i="1" l="1"/>
  <c r="BE362" i="1"/>
  <c r="BC364" i="1" l="1"/>
  <c r="BE363" i="1"/>
  <c r="BC365" i="1" l="1"/>
  <c r="BE364" i="1"/>
  <c r="BC366" i="1" l="1"/>
  <c r="BE365" i="1"/>
  <c r="BC367" i="1" l="1"/>
  <c r="BE366" i="1"/>
  <c r="BC368" i="1" l="1"/>
  <c r="BE367" i="1"/>
  <c r="BE368" i="1" l="1"/>
  <c r="BC369" i="1"/>
  <c r="BC370" i="1" l="1"/>
  <c r="BE369" i="1"/>
  <c r="BC371" i="1" l="1"/>
  <c r="BE370" i="1"/>
  <c r="BE371" i="1" l="1"/>
  <c r="BC372" i="1"/>
  <c r="BC373" i="1" l="1"/>
  <c r="BE372" i="1"/>
  <c r="BC374" i="1" l="1"/>
  <c r="BE373" i="1"/>
  <c r="BE374" i="1" l="1"/>
  <c r="BC375" i="1"/>
  <c r="BE375" i="1" l="1"/>
  <c r="BC376" i="1"/>
  <c r="BE376" i="1" l="1"/>
  <c r="BC377" i="1"/>
  <c r="BE377" i="1" l="1"/>
  <c r="BC378" i="1"/>
  <c r="BC379" i="1" l="1"/>
  <c r="BE378" i="1"/>
  <c r="BE379" i="1" l="1"/>
  <c r="BC380" i="1"/>
  <c r="BE380" i="1" l="1"/>
  <c r="BC381" i="1"/>
  <c r="BC382" i="1" l="1"/>
  <c r="BE381" i="1"/>
  <c r="BC383" i="1" l="1"/>
  <c r="BE382" i="1"/>
  <c r="BE383" i="1" l="1"/>
  <c r="BC384" i="1"/>
  <c r="BE384" i="1" l="1"/>
  <c r="BC385" i="1"/>
  <c r="BE385" i="1" l="1"/>
  <c r="BC386" i="1"/>
  <c r="BE386" i="1" l="1"/>
  <c r="BC387" i="1"/>
  <c r="BE387" i="1" l="1"/>
  <c r="BC388" i="1"/>
  <c r="BE388" i="1" l="1"/>
  <c r="BC389" i="1"/>
  <c r="BC390" i="1" l="1"/>
  <c r="BE389" i="1"/>
  <c r="BE390" i="1" l="1"/>
  <c r="BC391" i="1"/>
  <c r="BC392" i="1" l="1"/>
  <c r="BE391" i="1"/>
  <c r="BE392" i="1" l="1"/>
  <c r="BC393" i="1"/>
  <c r="BE393" i="1" l="1"/>
  <c r="BC394" i="1"/>
  <c r="BC395" i="1" l="1"/>
  <c r="BE394" i="1"/>
  <c r="BC396" i="1" l="1"/>
  <c r="BE395" i="1"/>
  <c r="BE396" i="1" l="1"/>
  <c r="BC397" i="1"/>
  <c r="BC398" i="1" l="1"/>
  <c r="BE397" i="1"/>
  <c r="BC399" i="1" l="1"/>
  <c r="BE398" i="1"/>
  <c r="BE399" i="1" l="1"/>
  <c r="BC400" i="1"/>
  <c r="BE400" i="1" l="1"/>
  <c r="BC401" i="1"/>
  <c r="BC402" i="1" l="1"/>
  <c r="BE401" i="1"/>
  <c r="BE402" i="1" l="1"/>
  <c r="BC403" i="1"/>
  <c r="BE403" i="1" l="1"/>
  <c r="BC404" i="1"/>
  <c r="BC405" i="1" l="1"/>
  <c r="BE404" i="1"/>
  <c r="BC406" i="1" l="1"/>
  <c r="BE405" i="1"/>
  <c r="BC407" i="1" l="1"/>
  <c r="BE406" i="1"/>
  <c r="BC408" i="1" l="1"/>
  <c r="BE407" i="1"/>
  <c r="BE408" i="1" l="1"/>
  <c r="BC409" i="1"/>
  <c r="BE409" i="1" l="1"/>
  <c r="BC410" i="1"/>
  <c r="BC411" i="1" l="1"/>
  <c r="BE410" i="1"/>
  <c r="BC412" i="1" l="1"/>
  <c r="BE411" i="1"/>
  <c r="BE412" i="1" l="1"/>
  <c r="BC413" i="1"/>
  <c r="BC414" i="1" l="1"/>
  <c r="BE413" i="1"/>
  <c r="BC415" i="1" l="1"/>
  <c r="BE414" i="1"/>
  <c r="BE415" i="1" l="1"/>
  <c r="BC416" i="1"/>
  <c r="BE416" i="1" l="1"/>
  <c r="BC417" i="1"/>
  <c r="BE417" i="1" l="1"/>
  <c r="BC418" i="1"/>
  <c r="BC419" i="1" l="1"/>
  <c r="BE418" i="1"/>
  <c r="BC420" i="1" l="1"/>
  <c r="BE419" i="1"/>
  <c r="BC421" i="1" l="1"/>
  <c r="BE420" i="1"/>
  <c r="BC422" i="1" l="1"/>
  <c r="BE421" i="1"/>
  <c r="BC423" i="1" l="1"/>
  <c r="BE422" i="1"/>
  <c r="BC424" i="1" l="1"/>
  <c r="BE423" i="1"/>
  <c r="BE424" i="1" l="1"/>
  <c r="BC425" i="1"/>
  <c r="BC426" i="1" l="1"/>
  <c r="BE425" i="1"/>
  <c r="BC427" i="1" l="1"/>
  <c r="BE426" i="1"/>
  <c r="BC428" i="1" l="1"/>
  <c r="BE427" i="1"/>
  <c r="BC429" i="1" l="1"/>
  <c r="BE428" i="1"/>
  <c r="BC430" i="1" l="1"/>
  <c r="BE429" i="1"/>
  <c r="BE430" i="1" l="1"/>
  <c r="BC431" i="1"/>
  <c r="BC432" i="1" l="1"/>
  <c r="BE431" i="1"/>
  <c r="BE432" i="1" l="1"/>
  <c r="BC433" i="1"/>
  <c r="BE433" i="1" l="1"/>
  <c r="BC434" i="1"/>
  <c r="BC435" i="1" l="1"/>
  <c r="BE434" i="1"/>
  <c r="BE435" i="1" l="1"/>
  <c r="BC436" i="1"/>
  <c r="BC437" i="1" l="1"/>
  <c r="BE436" i="1"/>
  <c r="BC438" i="1" l="1"/>
  <c r="BE437" i="1"/>
  <c r="BE438" i="1" l="1"/>
  <c r="BC439" i="1"/>
  <c r="BC440" i="1" l="1"/>
  <c r="BE439" i="1"/>
  <c r="BE440" i="1" l="1"/>
  <c r="BC441" i="1"/>
  <c r="BE441" i="1" l="1"/>
  <c r="BC442" i="1"/>
  <c r="BC443" i="1" l="1"/>
  <c r="BE442" i="1"/>
  <c r="BC444" i="1" l="1"/>
  <c r="BE443" i="1"/>
  <c r="BE444" i="1" l="1"/>
  <c r="BC445" i="1"/>
  <c r="BC446" i="1" l="1"/>
  <c r="BE445" i="1"/>
  <c r="BC447" i="1" l="1"/>
  <c r="BE446" i="1"/>
  <c r="BE447" i="1" l="1"/>
  <c r="BC448" i="1"/>
  <c r="BE448" i="1" l="1"/>
  <c r="BC449" i="1"/>
  <c r="BE449" i="1" l="1"/>
  <c r="BC450" i="1"/>
  <c r="BE450" i="1" l="1"/>
  <c r="BC451" i="1"/>
  <c r="BC452" i="1" l="1"/>
  <c r="BE451" i="1"/>
  <c r="BE452" i="1" l="1"/>
  <c r="BC453" i="1"/>
  <c r="BC454" i="1" l="1"/>
  <c r="BE453" i="1"/>
  <c r="BE454" i="1" l="1"/>
  <c r="BC455" i="1"/>
  <c r="BC456" i="1" l="1"/>
  <c r="BE455" i="1"/>
  <c r="BE456" i="1" l="1"/>
  <c r="BC457" i="1"/>
  <c r="BC458" i="1" l="1"/>
  <c r="BE457" i="1"/>
  <c r="BC459" i="1" l="1"/>
  <c r="BE458" i="1"/>
  <c r="BC460" i="1" l="1"/>
  <c r="BE459" i="1"/>
  <c r="BE460" i="1" l="1"/>
  <c r="BC461" i="1"/>
  <c r="BC462" i="1" l="1"/>
  <c r="BE461" i="1"/>
  <c r="BC463" i="1" l="1"/>
  <c r="BE462" i="1"/>
  <c r="BE463" i="1" l="1"/>
  <c r="BC464" i="1"/>
  <c r="BE464" i="1" l="1"/>
  <c r="BC465" i="1"/>
  <c r="BC466" i="1" l="1"/>
  <c r="BE465" i="1"/>
  <c r="BE466" i="1" l="1"/>
  <c r="BC467" i="1"/>
  <c r="BE467" i="1" l="1"/>
  <c r="BC468" i="1"/>
  <c r="BC469" i="1" l="1"/>
  <c r="BE468" i="1"/>
  <c r="BC470" i="1" l="1"/>
  <c r="BE469" i="1"/>
  <c r="BE470" i="1" l="1"/>
  <c r="BC471" i="1"/>
  <c r="BC472" i="1" l="1"/>
  <c r="BE471" i="1"/>
  <c r="BE472" i="1" l="1"/>
  <c r="BC473" i="1"/>
  <c r="BE473" i="1" l="1"/>
  <c r="BC474" i="1"/>
  <c r="BC475" i="1" l="1"/>
  <c r="BE474" i="1"/>
  <c r="BE475" i="1" l="1"/>
  <c r="BC476" i="1"/>
  <c r="BE476" i="1" l="1"/>
  <c r="BC477" i="1"/>
  <c r="BC478" i="1" l="1"/>
  <c r="BE477" i="1"/>
  <c r="Z26" i="1" l="1"/>
  <c r="Z12" i="1"/>
  <c r="Z4" i="1"/>
  <c r="Z38" i="1"/>
  <c r="Z32" i="1"/>
  <c r="Z23" i="1"/>
  <c r="Z20" i="1"/>
  <c r="Z16" i="1"/>
  <c r="Z7" i="1"/>
  <c r="Z6" i="1"/>
  <c r="Z27" i="1"/>
  <c r="Z15" i="1"/>
  <c r="Z22" i="1"/>
  <c r="Z18" i="1"/>
  <c r="Z14" i="1"/>
  <c r="Z11" i="1"/>
  <c r="BC479" i="1"/>
  <c r="Z8" i="1"/>
  <c r="BE478" i="1"/>
  <c r="Z39" i="1"/>
  <c r="Z21" i="1"/>
  <c r="Z34" i="1"/>
  <c r="Z33" i="1"/>
  <c r="Z19" i="1"/>
  <c r="Z31" i="1"/>
  <c r="Z28" i="1"/>
  <c r="Z13" i="1"/>
  <c r="Z10" i="1"/>
  <c r="AA10" i="1" s="1"/>
  <c r="Z30" i="1"/>
  <c r="Z36" i="1"/>
  <c r="Z25" i="1"/>
  <c r="Z35" i="1"/>
  <c r="Z9" i="1"/>
  <c r="Z5" i="1"/>
  <c r="Z17" i="1"/>
  <c r="Z37" i="1"/>
  <c r="Z24" i="1"/>
  <c r="Z29" i="1"/>
  <c r="AO7" i="1"/>
  <c r="AP7" i="1" s="1"/>
  <c r="AA39" i="1" l="1"/>
  <c r="AA35" i="1"/>
  <c r="AA19" i="1"/>
  <c r="AA13" i="1"/>
  <c r="AA32" i="1"/>
  <c r="AA8" i="1"/>
  <c r="AA11" i="1"/>
  <c r="AA16" i="1"/>
  <c r="AA25" i="1"/>
  <c r="AA33" i="1"/>
  <c r="AA14" i="1"/>
  <c r="AA18" i="1"/>
  <c r="AA23" i="1"/>
  <c r="AA22" i="1"/>
  <c r="AA9" i="1"/>
  <c r="AA36" i="1"/>
  <c r="AA15" i="1"/>
  <c r="AA38" i="1"/>
  <c r="AA20" i="1"/>
  <c r="AA34" i="1"/>
  <c r="AA24" i="1"/>
  <c r="AA21" i="1"/>
  <c r="AA37" i="1"/>
  <c r="AA5" i="1"/>
  <c r="AA28" i="1"/>
  <c r="AF6" i="1"/>
  <c r="AG6" i="1" s="1"/>
  <c r="AA6" i="1"/>
  <c r="AA12" i="1"/>
  <c r="AR7" i="1"/>
  <c r="AQ7" i="1"/>
  <c r="AN8" i="1" s="1"/>
  <c r="AA29" i="1"/>
  <c r="AF7" i="1"/>
  <c r="AA30" i="1"/>
  <c r="AA17" i="1"/>
  <c r="AA27" i="1"/>
  <c r="AF5" i="1"/>
  <c r="AG5" i="1" s="1"/>
  <c r="AA31" i="1"/>
  <c r="BC480" i="1"/>
  <c r="BE479" i="1"/>
  <c r="AA7" i="1"/>
  <c r="AA26" i="1"/>
  <c r="AO8" i="1" l="1"/>
  <c r="AP8" i="1" s="1"/>
  <c r="BE480" i="1"/>
  <c r="BC481" i="1"/>
  <c r="AG7" i="1"/>
  <c r="AR8" i="1" l="1"/>
  <c r="AQ8" i="1"/>
  <c r="AN9" i="1" s="1"/>
  <c r="BC482" i="1"/>
  <c r="BE481" i="1"/>
  <c r="AO9" i="1" l="1"/>
  <c r="AP9" i="1" s="1"/>
  <c r="AF8" i="1"/>
  <c r="AG8" i="1" s="1"/>
  <c r="BE482" i="1"/>
  <c r="BC483" i="1"/>
  <c r="AQ9" i="1" l="1"/>
  <c r="AN10" i="1" s="1"/>
  <c r="AR9" i="1"/>
  <c r="BC484" i="1"/>
  <c r="BE483" i="1"/>
  <c r="AF9" i="1" l="1"/>
  <c r="AG9" i="1" s="1"/>
  <c r="AO10" i="1"/>
  <c r="AP10" i="1" s="1"/>
  <c r="BC485" i="1"/>
  <c r="BE484" i="1"/>
  <c r="AQ10" i="1" l="1"/>
  <c r="AN11" i="1" s="1"/>
  <c r="AR10" i="1"/>
  <c r="BC486" i="1"/>
  <c r="BE485" i="1"/>
  <c r="AO11" i="1" l="1"/>
  <c r="AP11" i="1" s="1"/>
  <c r="AF10" i="1"/>
  <c r="BC487" i="1"/>
  <c r="BE486" i="1"/>
  <c r="AQ11" i="1" l="1"/>
  <c r="AN12" i="1" s="1"/>
  <c r="AR11" i="1"/>
  <c r="AG10" i="1"/>
  <c r="BC488" i="1"/>
  <c r="BE487" i="1"/>
  <c r="AF11" i="1" l="1"/>
  <c r="AG11" i="1" s="1"/>
  <c r="AO12" i="1"/>
  <c r="AP12" i="1" s="1"/>
  <c r="BE488" i="1"/>
  <c r="BC489" i="1"/>
  <c r="AR12" i="1" l="1"/>
  <c r="AQ12" i="1"/>
  <c r="AN13" i="1" s="1"/>
  <c r="BC490" i="1"/>
  <c r="BE489" i="1"/>
  <c r="AO13" i="1" l="1"/>
  <c r="AP13" i="1" s="1"/>
  <c r="AF12" i="1"/>
  <c r="BC491" i="1"/>
  <c r="BE490" i="1"/>
  <c r="AR13" i="1" l="1"/>
  <c r="AQ13" i="1"/>
  <c r="AN14" i="1" s="1"/>
  <c r="AG12" i="1"/>
  <c r="BE491" i="1"/>
  <c r="BC492" i="1"/>
  <c r="AF13" i="1" l="1"/>
  <c r="AG13" i="1" s="1"/>
  <c r="AO14" i="1"/>
  <c r="AP14" i="1" s="1"/>
  <c r="BC493" i="1"/>
  <c r="BE492" i="1"/>
  <c r="AR14" i="1" l="1"/>
  <c r="AQ14" i="1"/>
  <c r="AN15" i="1" s="1"/>
  <c r="BC494" i="1"/>
  <c r="BE493" i="1"/>
  <c r="AO15" i="1" l="1"/>
  <c r="AP15" i="1" s="1"/>
  <c r="AF14" i="1"/>
  <c r="BE494" i="1"/>
  <c r="BC495" i="1"/>
  <c r="AR15" i="1" l="1"/>
  <c r="AQ15" i="1"/>
  <c r="AN16" i="1" s="1"/>
  <c r="AG14" i="1"/>
  <c r="BC496" i="1"/>
  <c r="BE495" i="1"/>
  <c r="AF15" i="1" l="1"/>
  <c r="AG15" i="1" s="1"/>
  <c r="AO16" i="1"/>
  <c r="AP16" i="1" s="1"/>
  <c r="BE496" i="1"/>
  <c r="BC497" i="1"/>
  <c r="AQ16" i="1" l="1"/>
  <c r="AN17" i="1" s="1"/>
  <c r="AR16" i="1"/>
  <c r="BE497" i="1"/>
  <c r="BC498" i="1"/>
  <c r="AO17" i="1" l="1"/>
  <c r="AP17" i="1" s="1"/>
  <c r="AF16" i="1"/>
  <c r="BC499" i="1"/>
  <c r="BE498" i="1"/>
  <c r="AQ17" i="1" l="1"/>
  <c r="AN18" i="1" s="1"/>
  <c r="AR17" i="1"/>
  <c r="AG16" i="1"/>
  <c r="BE499" i="1"/>
  <c r="BC500" i="1"/>
  <c r="AF17" i="1" l="1"/>
  <c r="AG17" i="1" s="1"/>
  <c r="AO18" i="1"/>
  <c r="AP18" i="1" s="1"/>
  <c r="BC501" i="1"/>
  <c r="BE500" i="1"/>
  <c r="AQ18" i="1" l="1"/>
  <c r="AN19" i="1" s="1"/>
  <c r="AR18" i="1"/>
  <c r="BC502" i="1"/>
  <c r="BE501" i="1"/>
  <c r="AO19" i="1" l="1"/>
  <c r="AP19" i="1" s="1"/>
  <c r="AF18" i="1"/>
  <c r="BE502" i="1"/>
  <c r="BC503" i="1"/>
  <c r="AQ19" i="1" l="1"/>
  <c r="AR19" i="1"/>
  <c r="AF19" i="1"/>
  <c r="AG18" i="1"/>
  <c r="BC504" i="1"/>
  <c r="BE503" i="1"/>
  <c r="AF20" i="1" l="1"/>
  <c r="AG19" i="1"/>
  <c r="BE504" i="1"/>
  <c r="BC505" i="1"/>
  <c r="AF21" i="1" l="1"/>
  <c r="AG20" i="1"/>
  <c r="BE505" i="1"/>
  <c r="BC506" i="1"/>
  <c r="AF22" i="1" l="1"/>
  <c r="AG21" i="1"/>
  <c r="BC507" i="1"/>
  <c r="BE506" i="1"/>
  <c r="AF23" i="1" l="1"/>
  <c r="AG22" i="1"/>
  <c r="BE507" i="1"/>
  <c r="BC508" i="1"/>
  <c r="AF24" i="1" l="1"/>
  <c r="AG23" i="1"/>
  <c r="BE508" i="1"/>
  <c r="BC509" i="1"/>
  <c r="AF25" i="1" l="1"/>
  <c r="AG24" i="1"/>
  <c r="BC510" i="1"/>
  <c r="BE509" i="1"/>
  <c r="AF26" i="1" l="1"/>
  <c r="AG25" i="1"/>
  <c r="BE510" i="1"/>
  <c r="BC511" i="1"/>
  <c r="AF27" i="1" l="1"/>
  <c r="AG26" i="1"/>
  <c r="BE511" i="1"/>
  <c r="BC512" i="1"/>
  <c r="AF28" i="1" l="1"/>
  <c r="AG27" i="1"/>
  <c r="BE512" i="1"/>
  <c r="BC513" i="1"/>
  <c r="AF29" i="1" l="1"/>
  <c r="AG28" i="1"/>
  <c r="BC514" i="1"/>
  <c r="BE513" i="1"/>
  <c r="AF30" i="1" l="1"/>
  <c r="AG29" i="1"/>
  <c r="BE514" i="1"/>
  <c r="BC515" i="1"/>
  <c r="AF31" i="1" l="1"/>
  <c r="AG30" i="1"/>
  <c r="BC516" i="1"/>
  <c r="BE515" i="1"/>
  <c r="AF32" i="1" l="1"/>
  <c r="AG31" i="1"/>
  <c r="BC517" i="1"/>
  <c r="BE516" i="1"/>
  <c r="AF33" i="1" l="1"/>
  <c r="AG32" i="1"/>
  <c r="BC518" i="1"/>
  <c r="BE517" i="1"/>
  <c r="AF34" i="1" l="1"/>
  <c r="AG33" i="1"/>
  <c r="BC519" i="1"/>
  <c r="BE518" i="1"/>
  <c r="AF35" i="1" l="1"/>
  <c r="AG34" i="1"/>
  <c r="BE519" i="1"/>
  <c r="BC520" i="1"/>
  <c r="AF36" i="1" l="1"/>
  <c r="AG35" i="1"/>
  <c r="BE520" i="1"/>
  <c r="BC521" i="1"/>
  <c r="AF37" i="1" l="1"/>
  <c r="AG36" i="1"/>
  <c r="BC522" i="1"/>
  <c r="BE521" i="1"/>
  <c r="AF38" i="1" l="1"/>
  <c r="AG37" i="1"/>
  <c r="BC523" i="1"/>
  <c r="BE522" i="1"/>
  <c r="AF39" i="1" l="1"/>
  <c r="AG38" i="1"/>
  <c r="BC524" i="1"/>
  <c r="BE523" i="1"/>
  <c r="AF40" i="1" l="1"/>
  <c r="AG39" i="1"/>
  <c r="BE524" i="1"/>
  <c r="BC525" i="1"/>
  <c r="AF41" i="1" l="1"/>
  <c r="AG40" i="1"/>
  <c r="BC526" i="1"/>
  <c r="BE525" i="1"/>
  <c r="AF42" i="1" l="1"/>
  <c r="AG41" i="1"/>
  <c r="BE526" i="1"/>
  <c r="BC527" i="1"/>
  <c r="AF43" i="1" l="1"/>
  <c r="AG42" i="1"/>
  <c r="BC528" i="1"/>
  <c r="BE527" i="1"/>
  <c r="AF44" i="1" l="1"/>
  <c r="AG43" i="1"/>
  <c r="BC529" i="1"/>
  <c r="BE528" i="1"/>
  <c r="AF45" i="1" l="1"/>
  <c r="AG44" i="1"/>
  <c r="BC530" i="1"/>
  <c r="BE529" i="1"/>
  <c r="AF46" i="1" l="1"/>
  <c r="AG45" i="1"/>
  <c r="BC531" i="1"/>
  <c r="BE530" i="1"/>
  <c r="AF47" i="1" l="1"/>
  <c r="AG46" i="1"/>
  <c r="BC532" i="1"/>
  <c r="BE531" i="1"/>
  <c r="AF48" i="1" l="1"/>
  <c r="AG47" i="1"/>
  <c r="BC533" i="1"/>
  <c r="BE532" i="1"/>
  <c r="AF49" i="1" l="1"/>
  <c r="AG48" i="1"/>
  <c r="BC534" i="1"/>
  <c r="BE533" i="1"/>
  <c r="AF50" i="1" l="1"/>
  <c r="AG49" i="1"/>
  <c r="BE534" i="1"/>
  <c r="BC535" i="1"/>
  <c r="AF51" i="1" l="1"/>
  <c r="AG50" i="1"/>
  <c r="BC536" i="1"/>
  <c r="BE535" i="1"/>
  <c r="AF52" i="1" l="1"/>
  <c r="AG51" i="1"/>
  <c r="BE536" i="1"/>
  <c r="BC537" i="1"/>
  <c r="AG52" i="1" l="1"/>
  <c r="R5" i="1" s="1"/>
  <c r="R4" i="1"/>
  <c r="BC538" i="1"/>
  <c r="BE537" i="1"/>
  <c r="BC539" i="1" l="1"/>
  <c r="BE538" i="1"/>
  <c r="BC540" i="1" l="1"/>
  <c r="BE539" i="1"/>
  <c r="BE540" i="1" l="1"/>
  <c r="BC541" i="1"/>
  <c r="BC542" i="1" l="1"/>
  <c r="BE541" i="1"/>
  <c r="BE542" i="1" l="1"/>
  <c r="BC543" i="1"/>
  <c r="BC544" i="1" l="1"/>
  <c r="BE543" i="1"/>
  <c r="BC545" i="1" l="1"/>
  <c r="BE544" i="1"/>
  <c r="BE545" i="1" l="1"/>
  <c r="BC546" i="1"/>
  <c r="BC547" i="1" l="1"/>
  <c r="BE546" i="1"/>
  <c r="BC548" i="1" l="1"/>
  <c r="BE547" i="1"/>
  <c r="BC549" i="1" l="1"/>
  <c r="BE548" i="1"/>
  <c r="BE549" i="1" l="1"/>
  <c r="BC550" i="1"/>
  <c r="BE550" i="1" l="1"/>
  <c r="BC551" i="1"/>
  <c r="BC552" i="1" l="1"/>
  <c r="BE551" i="1"/>
  <c r="BC553" i="1" l="1"/>
  <c r="BE552" i="1"/>
  <c r="BC554" i="1" l="1"/>
  <c r="BE553" i="1"/>
  <c r="BE554" i="1" l="1"/>
  <c r="BC555" i="1"/>
  <c r="BC556" i="1" l="1"/>
  <c r="BE555" i="1"/>
  <c r="BE556" i="1" l="1"/>
  <c r="BC557" i="1"/>
  <c r="BC558" i="1" l="1"/>
  <c r="BE557" i="1"/>
  <c r="BE558" i="1" l="1"/>
  <c r="BC559" i="1"/>
  <c r="BC560" i="1" l="1"/>
  <c r="BE559" i="1"/>
  <c r="BC561" i="1" l="1"/>
  <c r="BE560" i="1"/>
  <c r="BC562" i="1" l="1"/>
  <c r="BE561" i="1"/>
  <c r="BE562" i="1" l="1"/>
  <c r="BC563" i="1"/>
  <c r="BC564" i="1" l="1"/>
  <c r="BE563" i="1"/>
  <c r="BE564" i="1" l="1"/>
  <c r="BC565" i="1"/>
  <c r="BC566" i="1" l="1"/>
  <c r="BE565" i="1"/>
  <c r="BE566" i="1" l="1"/>
  <c r="BC567" i="1"/>
  <c r="BC568" i="1" l="1"/>
  <c r="BE567" i="1"/>
  <c r="BC569" i="1" l="1"/>
  <c r="BE568" i="1"/>
  <c r="BE569" i="1" l="1"/>
  <c r="BC570" i="1"/>
  <c r="BC571" i="1" l="1"/>
  <c r="BE570" i="1"/>
  <c r="BC572" i="1" l="1"/>
  <c r="BE571" i="1"/>
  <c r="BE572" i="1" l="1"/>
  <c r="BC573" i="1"/>
  <c r="BE573" i="1" l="1"/>
  <c r="BC574" i="1"/>
  <c r="BE574" i="1" l="1"/>
  <c r="BC575" i="1"/>
  <c r="BE575" i="1" l="1"/>
  <c r="BC576" i="1"/>
  <c r="BE576" i="1" l="1"/>
  <c r="BC577" i="1"/>
  <c r="BE577" i="1" l="1"/>
  <c r="BC578" i="1"/>
  <c r="BE578" i="1" l="1"/>
  <c r="BC579" i="1"/>
  <c r="BC580" i="1" l="1"/>
  <c r="BE579" i="1"/>
  <c r="BE580" i="1" l="1"/>
  <c r="BC581" i="1"/>
  <c r="BE581" i="1" l="1"/>
  <c r="BC582" i="1"/>
  <c r="BE582" i="1" l="1"/>
  <c r="BC583" i="1"/>
  <c r="BE583" i="1" l="1"/>
  <c r="BC584" i="1"/>
  <c r="BE584" i="1" l="1"/>
  <c r="BC585" i="1"/>
  <c r="BC586" i="1" l="1"/>
  <c r="BE585" i="1"/>
  <c r="BC587" i="1" l="1"/>
  <c r="BE586" i="1"/>
  <c r="BC588" i="1" l="1"/>
  <c r="BE587" i="1"/>
  <c r="BE588" i="1" l="1"/>
  <c r="BC589" i="1"/>
  <c r="BC590" i="1" l="1"/>
  <c r="BE589" i="1"/>
  <c r="BE590" i="1" l="1"/>
  <c r="BC591" i="1"/>
  <c r="BE591" i="1" l="1"/>
  <c r="BC592" i="1"/>
  <c r="BC593" i="1" l="1"/>
  <c r="BE592" i="1"/>
  <c r="BC594" i="1" l="1"/>
  <c r="BE593" i="1"/>
  <c r="BE594" i="1" l="1"/>
  <c r="BC595" i="1"/>
  <c r="BC596" i="1" l="1"/>
  <c r="BE595" i="1"/>
  <c r="BC597" i="1" l="1"/>
  <c r="BE596" i="1"/>
  <c r="BE597" i="1" l="1"/>
  <c r="BC598" i="1"/>
  <c r="BE598" i="1" l="1"/>
  <c r="BC599" i="1"/>
  <c r="BC600" i="1" l="1"/>
  <c r="BE600" i="1" s="1"/>
  <c r="BE599" i="1"/>
</calcChain>
</file>

<file path=xl/comments1.xml><?xml version="1.0" encoding="utf-8"?>
<comments xmlns="http://schemas.openxmlformats.org/spreadsheetml/2006/main">
  <authors>
    <author>Black &amp; Veatch</author>
  </authors>
  <commentList>
    <comment ref="BE3" authorId="0" shapeId="0">
      <text>
        <r>
          <rPr>
            <b/>
            <sz val="9"/>
            <color indexed="81"/>
            <rFont val="Tahoma"/>
            <family val="2"/>
          </rPr>
          <t>Black &amp; Veatch:</t>
        </r>
        <r>
          <rPr>
            <sz val="9"/>
            <color indexed="81"/>
            <rFont val="Tahoma"/>
            <family val="2"/>
          </rPr>
          <t xml:space="preserve">
Second Elevation column for calculations</t>
        </r>
      </text>
    </comment>
  </commentList>
</comments>
</file>

<file path=xl/connections.xml><?xml version="1.0" encoding="utf-8"?>
<connections xmlns="http://schemas.openxmlformats.org/spreadsheetml/2006/main">
  <connection id="1" name="Connection8111" type="4" refreshedVersion="4" deleted="1" background="1" saveData="1">
    <webPr sourceData="1" parsePre="1" consecutive="1" xl2000="1" htmlTables="1" htmlFormat="all"/>
  </connection>
  <connection id="2" name="Connection81126232261" type="4" refreshedVersion="4" deleted="1" background="1" saveData="1">
    <webPr sourceData="1" parsePre="1" consecutive="1" xl2000="1" htmlTables="1" htmlFormat="all"/>
  </connection>
</connections>
</file>

<file path=xl/sharedStrings.xml><?xml version="1.0" encoding="utf-8"?>
<sst xmlns="http://schemas.openxmlformats.org/spreadsheetml/2006/main" count="187" uniqueCount="104">
  <si>
    <t>Evaporation Location</t>
  </si>
  <si>
    <t>I 35 Corr.</t>
  </si>
  <si>
    <t>Risk</t>
  </si>
  <si>
    <t>Year</t>
  </si>
  <si>
    <t>Month</t>
  </si>
  <si>
    <t>Storage</t>
  </si>
  <si>
    <t>Average</t>
  </si>
  <si>
    <t>Min</t>
  </si>
  <si>
    <t>Drought Fit</t>
  </si>
  <si>
    <t>Months to Empty</t>
  </si>
  <si>
    <t>JAN</t>
  </si>
  <si>
    <t>East TX</t>
  </si>
  <si>
    <t>West TX</t>
  </si>
  <si>
    <t>FEB</t>
  </si>
  <si>
    <t>MAR</t>
  </si>
  <si>
    <t>APR</t>
  </si>
  <si>
    <t>Generators at Risk</t>
  </si>
  <si>
    <t>MW</t>
  </si>
  <si>
    <t>Cap Fctr</t>
  </si>
  <si>
    <t>MWh (2015)</t>
  </si>
  <si>
    <t>MAY</t>
  </si>
  <si>
    <t>JUN</t>
  </si>
  <si>
    <t>JUL</t>
  </si>
  <si>
    <t>AUG</t>
  </si>
  <si>
    <t>SEPT</t>
  </si>
  <si>
    <t>OCT</t>
  </si>
  <si>
    <t>Monthly Consump</t>
  </si>
  <si>
    <t>Acre-feet</t>
  </si>
  <si>
    <t>gal/MWh</t>
  </si>
  <si>
    <t>NOV</t>
  </si>
  <si>
    <t>DEC</t>
  </si>
  <si>
    <t>Reservoir Details</t>
  </si>
  <si>
    <t>Full (Conservation)</t>
  </si>
  <si>
    <t>Probability Fit</t>
  </si>
  <si>
    <t>Reasons</t>
  </si>
  <si>
    <t>Date</t>
  </si>
  <si>
    <t>Worst</t>
  </si>
  <si>
    <t>Drought fit</t>
  </si>
  <si>
    <t>Set at default level of 50% for off channel reservoirs</t>
  </si>
  <si>
    <t>Notes:</t>
  </si>
  <si>
    <t>Calculation of Drought Fit</t>
  </si>
  <si>
    <t>Lookup table for exceedence probability calculations</t>
  </si>
  <si>
    <t>Historical Monthly Changes in Storage</t>
  </si>
  <si>
    <t>Month/Year</t>
  </si>
  <si>
    <t>Monthly Changes in Storage - Statistics</t>
  </si>
  <si>
    <t>Reservoir storage:</t>
  </si>
  <si>
    <t>Dr. fit % of Storage</t>
  </si>
  <si>
    <t>Max</t>
  </si>
  <si>
    <t>30th Percentile</t>
  </si>
  <si>
    <t>Historical Storage Change Probability</t>
  </si>
  <si>
    <t>Extreme Drought</t>
  </si>
  <si>
    <t>Explanation of Drought Fit</t>
  </si>
  <si>
    <t>Reason for Change:</t>
  </si>
  <si>
    <t>Months Affected:</t>
  </si>
  <si>
    <t>Modified Value Based On:</t>
  </si>
  <si>
    <t>Very Wet</t>
  </si>
  <si>
    <t>Set at default level of 20% for drainage-fed reservoirs</t>
  </si>
  <si>
    <t>Historical Data</t>
  </si>
  <si>
    <t>Gas Steam-Non-reheat</t>
  </si>
  <si>
    <t>Generator 2</t>
  </si>
  <si>
    <t>Value is &gt; 0</t>
  </si>
  <si>
    <t>Feb-Apr</t>
  </si>
  <si>
    <t>Reservoir Storage Predictions</t>
  </si>
  <si>
    <t>Full Storage</t>
  </si>
  <si>
    <t>Lake Bathymetry</t>
  </si>
  <si>
    <t>Reservoir Characteristics</t>
  </si>
  <si>
    <t>Predicted Reservoir Storage</t>
  </si>
  <si>
    <t>Elevation (ft)</t>
  </si>
  <si>
    <t>Storage (Acre-ft)</t>
  </si>
  <si>
    <t>Change (Acre-ft)</t>
  </si>
  <si>
    <t>All values are in acre-feet</t>
  </si>
  <si>
    <t>For drought fit, values in blue cells are set at 30th percentile; values in green cells modified as described below.</t>
  </si>
  <si>
    <t>Volume (acre-ft)</t>
  </si>
  <si>
    <t>Month (#)</t>
  </si>
  <si>
    <t xml:space="preserve">Estimated Storage </t>
  </si>
  <si>
    <t>Depth (ft)</t>
  </si>
  <si>
    <t>Location to use</t>
  </si>
  <si>
    <t>Percentile lookup for probability fit:</t>
  </si>
  <si>
    <t>Evaporation Location Lookup</t>
  </si>
  <si>
    <t>Pan Evaporation Assumptions</t>
  </si>
  <si>
    <t>Storage (acre-ft)</t>
  </si>
  <si>
    <t>Storage Loss from Evaporation</t>
  </si>
  <si>
    <t>Storage Loss from Consumption</t>
  </si>
  <si>
    <t>Change (acre-ft)</t>
  </si>
  <si>
    <t xml:space="preserve">Most Recent Elevation:  </t>
  </si>
  <si>
    <t>Drought Fit Forecast</t>
  </si>
  <si>
    <t>Guidance &amp; Instructions</t>
  </si>
  <si>
    <t>The methodologies contained herein are developed for this specific purpose, which is to provide early warning of possible outages or derating of generation units.</t>
  </si>
  <si>
    <t>This spreadsheet-based calculator is designed to help ERCOT evaluate risk of drought affecting generation supplies</t>
  </si>
  <si>
    <t>ERCOT Drought Risk Analysis</t>
  </si>
  <si>
    <t>Yellow boxes contain user tips and other exlanatory information.</t>
  </si>
  <si>
    <t>The following color conventions are used throughout the model:</t>
  </si>
  <si>
    <t>Cells shown in this color contain model assumptions and other internal calculations. These cells should not be modified.</t>
  </si>
  <si>
    <t>Cells shown in this color may be used by the user to input updated information and select from different options.</t>
  </si>
  <si>
    <t>Cells shown in this color contain data input information that are set by the user when initially developing the reservoir prediction.</t>
  </si>
  <si>
    <t>Cells shown in this color contain calculations based on historical reservoir data and future reservoir storage predictions. These cells should not be modified.</t>
  </si>
  <si>
    <t>Assumed to be zero</t>
  </si>
  <si>
    <t>Is Prediction At Risk Level?</t>
  </si>
  <si>
    <t>Months to At Risk</t>
  </si>
  <si>
    <t>At-Risk Level</t>
  </si>
  <si>
    <t xml:space="preserve">At-Risk Storage </t>
  </si>
  <si>
    <t>At-Risk Storage</t>
  </si>
  <si>
    <t>At Risk?</t>
  </si>
  <si>
    <t>This spreadsheet is intended to allow users to understand the methodology behind ERCOT's drought risk analysis. The spreadsheets are for demo purposes only and are not intended to reflect conditions at any specific reservor or generating unit. 
The spreadsheets included in this workbook provide example calculations for a drainage-fed and off-channel reservoir. Separate methodologies are required for the two types of reservoirs due to their different modes of operation and information available. Additional explanation of the methodology behind the spreadsheet is available in the attached file (see icon at right).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</si>
</sst>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0.0%"/>
    <numFmt numFmtId="166" formatCode="_(* #,##0_);_(* \(#,##0\);_(* &quot;-&quot;??_);_(@_)"/>
    <numFmt numFmtId="167" formatCode="yyyy"/>
  </numFmts>
  <fonts count="38">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b/>
      <sz val="11"/>
      <color theme="1"/>
      <name val="Calibri"/>
      <family val="2"/>
      <scheme val="minor"/>
    </font>
    <font>
      <sz val="8"/>
      <color rgb="FF000000"/>
      <name val="Tahoma"/>
      <family val="2"/>
    </font>
    <font>
      <i/>
      <sz val="11"/>
      <color rgb="FF333333"/>
      <name val="Trebuchet MS"/>
      <family val="2"/>
    </font>
    <font>
      <b/>
      <sz val="14"/>
      <color theme="1"/>
      <name val="Calibri"/>
      <family val="2"/>
      <scheme val="minor"/>
    </font>
    <font>
      <b/>
      <sz val="11"/>
      <color theme="6"/>
      <name val="Calibri"/>
      <family val="2"/>
      <scheme val="minor"/>
    </font>
    <font>
      <sz val="11"/>
      <name val="Calibri"/>
      <family val="2"/>
      <scheme val="minor"/>
    </font>
    <font>
      <b/>
      <sz val="11"/>
      <color rgb="FF339966"/>
      <name val="Calibri"/>
      <family val="2"/>
      <scheme val="minor"/>
    </font>
    <font>
      <b/>
      <sz val="11"/>
      <name val="Calibri"/>
      <family val="2"/>
      <scheme val="minor"/>
    </font>
    <font>
      <sz val="11"/>
      <color theme="0" tint="-0.34998626667073579"/>
      <name val="Calibri"/>
      <family val="2"/>
      <scheme val="minor"/>
    </font>
    <font>
      <sz val="11"/>
      <color rgb="FF333333"/>
      <name val="Trebuchet MS"/>
      <family val="2"/>
    </font>
    <font>
      <sz val="10"/>
      <color rgb="FF000000"/>
      <name val="Calibri"/>
      <family val="2"/>
      <scheme val="minor"/>
    </font>
    <font>
      <sz val="11"/>
      <color rgb="FF333333"/>
      <name val="Palatino"/>
      <family val="1"/>
    </font>
    <font>
      <u/>
      <sz val="11"/>
      <color theme="10"/>
      <name val="Calibri"/>
      <family val="2"/>
      <scheme val="minor"/>
    </font>
    <font>
      <sz val="11"/>
      <color rgb="FF0088CC"/>
      <name val="Trebuchet MS"/>
      <family val="2"/>
    </font>
    <font>
      <b/>
      <sz val="11"/>
      <color rgb="FFFF0000"/>
      <name val="Calibri"/>
      <family val="2"/>
      <scheme val="minor"/>
    </font>
    <font>
      <b/>
      <sz val="9"/>
      <color indexed="81"/>
      <name val="Tahoma"/>
      <family val="2"/>
    </font>
    <font>
      <sz val="9"/>
      <color indexed="81"/>
      <name val="Tahoma"/>
      <family val="2"/>
    </font>
    <font>
      <b/>
      <u/>
      <sz val="11"/>
      <color theme="1"/>
      <name val="Calibri"/>
      <family val="2"/>
      <scheme val="minor"/>
    </font>
    <font>
      <i/>
      <sz val="11"/>
      <name val="Calibri"/>
      <family val="2"/>
      <scheme val="minor"/>
    </font>
    <font>
      <i/>
      <sz val="11"/>
      <color theme="1"/>
      <name val="Calibri"/>
      <family val="2"/>
      <scheme val="minor"/>
    </font>
    <font>
      <sz val="11"/>
      <color indexed="62"/>
      <name val="Calibri"/>
      <family val="2"/>
    </font>
    <font>
      <sz val="11"/>
      <name val="Calibri"/>
      <family val="2"/>
    </font>
    <font>
      <sz val="10"/>
      <color theme="1"/>
      <name val="Calibri"/>
      <family val="2"/>
      <scheme val="minor"/>
    </font>
    <font>
      <b/>
      <u/>
      <sz val="11"/>
      <name val="Calibri"/>
      <family val="2"/>
      <scheme val="minor"/>
    </font>
    <font>
      <b/>
      <sz val="14"/>
      <name val="Calibri"/>
      <family val="2"/>
      <scheme val="minor"/>
    </font>
    <font>
      <b/>
      <sz val="11"/>
      <color theme="0" tint="-0.499984740745262"/>
      <name val="Calibri"/>
      <family val="2"/>
      <scheme val="minor"/>
    </font>
    <font>
      <i/>
      <sz val="11"/>
      <name val="Trebuchet MS"/>
      <family val="2"/>
    </font>
    <font>
      <b/>
      <i/>
      <sz val="11"/>
      <name val="Calibri"/>
      <family val="2"/>
      <scheme val="minor"/>
    </font>
    <font>
      <b/>
      <sz val="11"/>
      <color theme="4"/>
      <name val="Calibri"/>
      <family val="2"/>
      <scheme val="minor"/>
    </font>
    <font>
      <u/>
      <sz val="11"/>
      <color indexed="8"/>
      <name val="Calibri"/>
      <family val="2"/>
    </font>
    <font>
      <b/>
      <sz val="11"/>
      <color indexed="8"/>
      <name val="Calibri"/>
      <family val="2"/>
    </font>
    <font>
      <sz val="12"/>
      <color indexed="8"/>
      <name val="Calibri"/>
      <family val="2"/>
    </font>
    <font>
      <b/>
      <sz val="12"/>
      <color indexed="8"/>
      <name val="Calibri"/>
      <family val="2"/>
    </font>
    <font>
      <b/>
      <i/>
      <sz val="36"/>
      <color rgb="FF5B6770"/>
      <name val="Calibri"/>
      <family val="2"/>
    </font>
  </fonts>
  <fills count="10">
    <fill>
      <patternFill patternType="none"/>
    </fill>
    <fill>
      <patternFill patternType="gray125"/>
    </fill>
    <fill>
      <patternFill patternType="solid">
        <fgColor rgb="FFC6EFCE"/>
      </patternFill>
    </fill>
    <fill>
      <patternFill patternType="solid">
        <fgColor rgb="FFFFC7CE"/>
      </patternFill>
    </fill>
    <fill>
      <patternFill patternType="solid">
        <fgColor theme="0" tint="-4.9989318521683403E-2"/>
        <bgColor indexed="64"/>
      </patternFill>
    </fill>
    <fill>
      <patternFill patternType="solid">
        <fgColor rgb="FFC6EFCE"/>
        <bgColor indexed="64"/>
      </patternFill>
    </fill>
    <fill>
      <patternFill patternType="solid">
        <fgColor theme="0"/>
        <bgColor indexed="64"/>
      </patternFill>
    </fill>
    <fill>
      <patternFill patternType="solid">
        <fgColor theme="4" tint="0.79998168889431442"/>
        <bgColor indexed="64"/>
      </patternFill>
    </fill>
    <fill>
      <patternFill patternType="solid">
        <fgColor indexed="47"/>
      </patternFill>
    </fill>
    <fill>
      <patternFill patternType="solid">
        <fgColor theme="5" tint="0.59999389629810485"/>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rgb="FFD4D4D4"/>
      </right>
      <top/>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auto="1"/>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auto="1"/>
      </left>
      <right style="medium">
        <color auto="1"/>
      </right>
      <top style="thin">
        <color auto="1"/>
      </top>
      <bottom style="medium">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auto="1"/>
      </bottom>
      <diagonal/>
    </border>
    <border>
      <left/>
      <right style="medium">
        <color auto="1"/>
      </right>
      <top/>
      <bottom style="thin">
        <color auto="1"/>
      </bottom>
      <diagonal/>
    </border>
    <border>
      <left/>
      <right style="medium">
        <color theme="0" tint="-0.499984740745262"/>
      </right>
      <top style="medium">
        <color indexed="64"/>
      </top>
      <bottom/>
      <diagonal/>
    </border>
    <border>
      <left style="medium">
        <color theme="0" tint="-0.499984740745262"/>
      </left>
      <right/>
      <top style="medium">
        <color indexed="64"/>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theme="0" tint="-0.499984740745262"/>
      </top>
      <bottom style="medium">
        <color auto="1"/>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auto="1"/>
      </bottom>
      <diagonal/>
    </border>
    <border>
      <left/>
      <right style="medium">
        <color theme="0" tint="-0.499984740745262"/>
      </right>
      <top/>
      <bottom style="medium">
        <color indexed="64"/>
      </bottom>
      <diagonal/>
    </border>
    <border>
      <left style="medium">
        <color theme="0" tint="-0.499984740745262"/>
      </left>
      <right/>
      <top/>
      <bottom style="medium">
        <color indexed="64"/>
      </bottom>
      <diagonal/>
    </border>
    <border>
      <left/>
      <right style="medium">
        <color theme="0" tint="-0.499984740745262"/>
      </right>
      <top style="medium">
        <color indexed="64"/>
      </top>
      <bottom style="thin">
        <color indexed="64"/>
      </bottom>
      <diagonal/>
    </border>
    <border>
      <left style="medium">
        <color theme="0" tint="-0.499984740745262"/>
      </left>
      <right/>
      <top style="medium">
        <color indexed="64"/>
      </top>
      <bottom style="thin">
        <color indexed="64"/>
      </bottom>
      <diagonal/>
    </border>
    <border>
      <left/>
      <right style="medium">
        <color theme="0" tint="-0.499984740745262"/>
      </right>
      <top style="thin">
        <color indexed="64"/>
      </top>
      <bottom style="thin">
        <color indexed="64"/>
      </bottom>
      <diagonal/>
    </border>
    <border>
      <left style="medium">
        <color theme="0" tint="-0.499984740745262"/>
      </left>
      <right/>
      <top style="thin">
        <color indexed="64"/>
      </top>
      <bottom style="thin">
        <color indexed="64"/>
      </bottom>
      <diagonal/>
    </border>
    <border>
      <left/>
      <right style="medium">
        <color theme="0" tint="-0.499984740745262"/>
      </right>
      <top style="thin">
        <color indexed="64"/>
      </top>
      <bottom style="medium">
        <color indexed="64"/>
      </bottom>
      <diagonal/>
    </border>
    <border>
      <left style="medium">
        <color theme="0" tint="-0.499984740745262"/>
      </left>
      <right/>
      <top style="thin">
        <color indexed="64"/>
      </top>
      <bottom style="medium">
        <color indexed="64"/>
      </bottom>
      <diagonal/>
    </border>
    <border>
      <left/>
      <right style="medium">
        <color auto="1"/>
      </right>
      <top style="medium">
        <color auto="1"/>
      </top>
      <bottom style="thin">
        <color theme="0" tint="-0.499984740745262"/>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16" fillId="0" borderId="0" applyNumberFormat="0" applyFill="0" applyBorder="0" applyAlignment="0" applyProtection="0"/>
    <xf numFmtId="0" fontId="24" fillId="8" borderId="39" applyNumberFormat="0" applyAlignment="0" applyProtection="0"/>
  </cellStyleXfs>
  <cellXfs count="392">
    <xf numFmtId="0" fontId="0" fillId="0" borderId="0" xfId="0"/>
    <xf numFmtId="0" fontId="0" fillId="0" borderId="0" xfId="0" applyProtection="1"/>
    <xf numFmtId="3" fontId="0" fillId="0" borderId="0" xfId="0" applyNumberFormat="1" applyProtection="1"/>
    <xf numFmtId="164" fontId="0" fillId="0" borderId="0" xfId="0" applyNumberFormat="1" applyProtection="1"/>
    <xf numFmtId="0" fontId="6" fillId="0" borderId="0" xfId="0" applyFont="1" applyAlignment="1" applyProtection="1">
      <alignment vertical="center" wrapText="1"/>
    </xf>
    <xf numFmtId="4" fontId="6" fillId="0" borderId="0" xfId="0" applyNumberFormat="1" applyFont="1" applyAlignment="1" applyProtection="1">
      <alignment vertical="center" wrapText="1"/>
    </xf>
    <xf numFmtId="2" fontId="0" fillId="0" borderId="0" xfId="0" applyNumberFormat="1" applyProtection="1"/>
    <xf numFmtId="0" fontId="0" fillId="0" borderId="1" xfId="0" applyBorder="1" applyProtection="1"/>
    <xf numFmtId="0" fontId="0" fillId="0" borderId="2" xfId="0" applyBorder="1" applyProtection="1"/>
    <xf numFmtId="3" fontId="0" fillId="0" borderId="2" xfId="0" applyNumberFormat="1" applyBorder="1" applyProtection="1"/>
    <xf numFmtId="0" fontId="0" fillId="0" borderId="3" xfId="0" applyFill="1" applyBorder="1" applyProtection="1"/>
    <xf numFmtId="0" fontId="0" fillId="0" borderId="4" xfId="0" applyBorder="1" applyProtection="1"/>
    <xf numFmtId="0" fontId="0" fillId="0" borderId="0" xfId="0" applyBorder="1" applyProtection="1"/>
    <xf numFmtId="0" fontId="4" fillId="4" borderId="5" xfId="0" applyFont="1" applyFill="1" applyBorder="1" applyProtection="1"/>
    <xf numFmtId="0" fontId="0" fillId="4" borderId="6" xfId="0" applyFill="1" applyBorder="1" applyProtection="1"/>
    <xf numFmtId="0" fontId="0" fillId="4" borderId="7" xfId="0" applyFill="1" applyBorder="1" applyProtection="1"/>
    <xf numFmtId="3" fontId="0" fillId="0" borderId="8" xfId="0" applyNumberFormat="1" applyFill="1" applyBorder="1" applyAlignment="1" applyProtection="1">
      <alignment horizontal="center"/>
    </xf>
    <xf numFmtId="0" fontId="0" fillId="0" borderId="0" xfId="0" applyFill="1" applyBorder="1" applyProtection="1"/>
    <xf numFmtId="0" fontId="0" fillId="0" borderId="9" xfId="0" applyBorder="1" applyProtection="1"/>
    <xf numFmtId="3" fontId="9" fillId="0" borderId="10" xfId="0" applyNumberFormat="1" applyFont="1" applyBorder="1" applyAlignment="1" applyProtection="1">
      <alignment horizontal="center"/>
    </xf>
    <xf numFmtId="3" fontId="0" fillId="0" borderId="10" xfId="0" applyNumberFormat="1" applyFill="1" applyBorder="1" applyAlignment="1" applyProtection="1">
      <alignment horizontal="center"/>
    </xf>
    <xf numFmtId="1" fontId="9" fillId="0" borderId="11" xfId="0" applyNumberFormat="1" applyFont="1" applyFill="1" applyBorder="1" applyAlignment="1" applyProtection="1">
      <alignment horizontal="center" vertical="center"/>
    </xf>
    <xf numFmtId="0" fontId="0" fillId="0" borderId="8" xfId="0" applyFill="1" applyBorder="1" applyAlignment="1" applyProtection="1">
      <alignment horizontal="center"/>
    </xf>
    <xf numFmtId="3" fontId="0" fillId="0" borderId="0" xfId="0" applyNumberFormat="1" applyBorder="1" applyProtection="1"/>
    <xf numFmtId="0" fontId="0" fillId="0" borderId="12" xfId="0" applyBorder="1" applyProtection="1"/>
    <xf numFmtId="0" fontId="0" fillId="0" borderId="13" xfId="0" applyFill="1" applyBorder="1" applyAlignment="1" applyProtection="1">
      <alignment horizontal="center"/>
    </xf>
    <xf numFmtId="1" fontId="10" fillId="0" borderId="14" xfId="0" applyNumberFormat="1" applyFont="1" applyFill="1" applyBorder="1" applyAlignment="1" applyProtection="1">
      <alignment horizontal="center" vertical="center"/>
    </xf>
    <xf numFmtId="0" fontId="0" fillId="0" borderId="8" xfId="0" applyFill="1" applyBorder="1" applyProtection="1"/>
    <xf numFmtId="3" fontId="0" fillId="0" borderId="0" xfId="0" applyNumberFormat="1" applyBorder="1" applyAlignment="1" applyProtection="1">
      <alignment horizontal="center"/>
    </xf>
    <xf numFmtId="0" fontId="0" fillId="0" borderId="0" xfId="0" applyBorder="1" applyAlignment="1" applyProtection="1">
      <alignment horizontal="center"/>
    </xf>
    <xf numFmtId="0" fontId="4" fillId="4" borderId="15" xfId="0" applyFont="1" applyFill="1" applyBorder="1" applyProtection="1"/>
    <xf numFmtId="3" fontId="0" fillId="4" borderId="6" xfId="0" applyNumberFormat="1" applyFill="1" applyBorder="1" applyProtection="1"/>
    <xf numFmtId="0" fontId="9" fillId="2" borderId="9" xfId="3" applyFont="1" applyBorder="1" applyProtection="1"/>
    <xf numFmtId="3" fontId="9" fillId="2" borderId="10" xfId="3" applyNumberFormat="1" applyFont="1" applyBorder="1" applyProtection="1"/>
    <xf numFmtId="10" fontId="9" fillId="2" borderId="10" xfId="3" applyNumberFormat="1" applyFont="1" applyBorder="1" applyProtection="1"/>
    <xf numFmtId="3" fontId="9" fillId="2" borderId="16" xfId="3" applyNumberFormat="1" applyFont="1" applyBorder="1" applyProtection="1"/>
    <xf numFmtId="0" fontId="9" fillId="2" borderId="17" xfId="3" applyFont="1" applyBorder="1" applyProtection="1"/>
    <xf numFmtId="3" fontId="9" fillId="2" borderId="18" xfId="3" applyNumberFormat="1" applyFont="1" applyBorder="1" applyProtection="1"/>
    <xf numFmtId="10" fontId="9" fillId="2" borderId="18" xfId="3" applyNumberFormat="1" applyFont="1" applyBorder="1" applyProtection="1"/>
    <xf numFmtId="0" fontId="0" fillId="0" borderId="19" xfId="0" applyBorder="1" applyProtection="1"/>
    <xf numFmtId="0" fontId="9" fillId="5" borderId="12" xfId="4" applyFont="1" applyFill="1" applyBorder="1" applyProtection="1"/>
    <xf numFmtId="3" fontId="9" fillId="5" borderId="13" xfId="4" applyNumberFormat="1" applyFont="1" applyFill="1" applyBorder="1" applyProtection="1"/>
    <xf numFmtId="10" fontId="9" fillId="5" borderId="13" xfId="4" applyNumberFormat="1" applyFont="1" applyFill="1" applyBorder="1" applyProtection="1"/>
    <xf numFmtId="3" fontId="9" fillId="5" borderId="14" xfId="4" applyNumberFormat="1" applyFont="1" applyFill="1" applyBorder="1" applyProtection="1"/>
    <xf numFmtId="0" fontId="2" fillId="0" borderId="20" xfId="3" applyFont="1" applyFill="1" applyBorder="1" applyProtection="1"/>
    <xf numFmtId="3" fontId="2" fillId="0" borderId="20" xfId="3" applyNumberFormat="1" applyFill="1" applyBorder="1" applyProtection="1"/>
    <xf numFmtId="10" fontId="2" fillId="0" borderId="20" xfId="3" applyNumberFormat="1" applyFill="1" applyBorder="1" applyProtection="1"/>
    <xf numFmtId="3" fontId="3" fillId="0" borderId="20" xfId="4" applyNumberFormat="1" applyFill="1" applyBorder="1" applyProtection="1"/>
    <xf numFmtId="0" fontId="11" fillId="4" borderId="15" xfId="3" applyFont="1" applyFill="1" applyBorder="1" applyProtection="1"/>
    <xf numFmtId="3" fontId="9" fillId="4" borderId="6" xfId="3" applyNumberFormat="1" applyFont="1" applyFill="1" applyBorder="1" applyProtection="1"/>
    <xf numFmtId="10" fontId="9" fillId="4" borderId="6" xfId="3" applyNumberFormat="1" applyFont="1" applyFill="1" applyBorder="1" applyProtection="1"/>
    <xf numFmtId="3" fontId="9" fillId="4" borderId="7" xfId="4" applyNumberFormat="1" applyFont="1" applyFill="1" applyBorder="1" applyProtection="1"/>
    <xf numFmtId="1" fontId="9" fillId="2" borderId="10" xfId="3" applyNumberFormat="1" applyFont="1" applyBorder="1" applyProtection="1"/>
    <xf numFmtId="3" fontId="9" fillId="2" borderId="21" xfId="3" applyNumberFormat="1" applyFont="1" applyBorder="1" applyProtection="1"/>
    <xf numFmtId="0" fontId="0" fillId="0" borderId="8" xfId="0" applyFill="1" applyBorder="1" applyAlignment="1" applyProtection="1">
      <alignment vertical="center" wrapText="1"/>
    </xf>
    <xf numFmtId="0" fontId="9" fillId="2" borderId="12" xfId="3" applyFont="1" applyBorder="1" applyProtection="1"/>
    <xf numFmtId="1" fontId="9" fillId="2" borderId="22" xfId="3" applyNumberFormat="1" applyFont="1" applyBorder="1" applyProtection="1"/>
    <xf numFmtId="3" fontId="0" fillId="4" borderId="20" xfId="0" applyNumberFormat="1" applyFill="1" applyBorder="1" applyProtection="1"/>
    <xf numFmtId="0" fontId="0" fillId="4" borderId="23" xfId="0" applyFill="1" applyBorder="1" applyProtection="1"/>
    <xf numFmtId="0" fontId="0" fillId="0" borderId="24" xfId="0" applyBorder="1" applyProtection="1"/>
    <xf numFmtId="3" fontId="0" fillId="0" borderId="26" xfId="0" applyNumberFormat="1" applyBorder="1" applyProtection="1"/>
    <xf numFmtId="0" fontId="0" fillId="0" borderId="21" xfId="0" applyBorder="1" applyProtection="1"/>
    <xf numFmtId="3" fontId="0" fillId="0" borderId="22" xfId="0" applyNumberFormat="1" applyBorder="1" applyAlignment="1" applyProtection="1">
      <alignment horizontal="center"/>
    </xf>
    <xf numFmtId="3" fontId="0" fillId="0" borderId="13" xfId="0" applyNumberFormat="1" applyBorder="1" applyProtection="1"/>
    <xf numFmtId="0" fontId="0" fillId="0" borderId="14" xfId="0" applyBorder="1" applyProtection="1"/>
    <xf numFmtId="0" fontId="0" fillId="0" borderId="8" xfId="0" applyBorder="1" applyProtection="1"/>
    <xf numFmtId="9" fontId="0" fillId="0" borderId="8" xfId="0" applyNumberFormat="1" applyBorder="1" applyProtection="1"/>
    <xf numFmtId="165" fontId="0" fillId="0" borderId="0" xfId="0" applyNumberFormat="1" applyBorder="1" applyProtection="1"/>
    <xf numFmtId="0" fontId="12" fillId="0" borderId="0" xfId="0" applyFont="1" applyFill="1" applyBorder="1" applyProtection="1"/>
    <xf numFmtId="165" fontId="12" fillId="0" borderId="0" xfId="3" applyNumberFormat="1" applyFont="1" applyFill="1" applyBorder="1" applyProtection="1"/>
    <xf numFmtId="3" fontId="12" fillId="0" borderId="0" xfId="0" applyNumberFormat="1" applyFont="1" applyFill="1" applyBorder="1" applyProtection="1"/>
    <xf numFmtId="0" fontId="13" fillId="0" borderId="0" xfId="0" applyFont="1" applyAlignment="1" applyProtection="1">
      <alignment vertical="center" wrapText="1"/>
    </xf>
    <xf numFmtId="0" fontId="0" fillId="0" borderId="33" xfId="0" applyBorder="1" applyProtection="1"/>
    <xf numFmtId="0" fontId="0" fillId="0" borderId="31" xfId="0" applyBorder="1" applyProtection="1"/>
    <xf numFmtId="0" fontId="0" fillId="0" borderId="20" xfId="0" applyBorder="1" applyAlignment="1" applyProtection="1">
      <alignment vertical="top"/>
    </xf>
    <xf numFmtId="0" fontId="0" fillId="0" borderId="32" xfId="0" applyBorder="1" applyProtection="1"/>
    <xf numFmtId="0" fontId="0" fillId="0" borderId="0" xfId="0" applyBorder="1" applyAlignment="1" applyProtection="1">
      <alignment vertical="top"/>
    </xf>
    <xf numFmtId="0" fontId="14" fillId="0" borderId="0" xfId="0" applyFont="1" applyAlignment="1" applyProtection="1">
      <alignment horizontal="center" vertical="center" readingOrder="1"/>
    </xf>
    <xf numFmtId="0" fontId="15" fillId="0" borderId="0" xfId="0" applyFont="1" applyAlignment="1" applyProtection="1">
      <alignment vertical="center"/>
    </xf>
    <xf numFmtId="0" fontId="16" fillId="0" borderId="0" xfId="5" applyAlignment="1" applyProtection="1">
      <alignment vertical="center"/>
    </xf>
    <xf numFmtId="0" fontId="17" fillId="0" borderId="0" xfId="0" applyFont="1" applyAlignment="1" applyProtection="1">
      <alignment vertical="center"/>
    </xf>
    <xf numFmtId="0" fontId="18" fillId="0" borderId="0" xfId="0" quotePrefix="1" applyFont="1" applyAlignment="1" applyProtection="1">
      <alignment horizontal="right"/>
    </xf>
    <xf numFmtId="0" fontId="16" fillId="0" borderId="0" xfId="5" quotePrefix="1" applyBorder="1" applyAlignment="1" applyProtection="1">
      <alignment horizontal="center" vertical="center"/>
    </xf>
    <xf numFmtId="0" fontId="0" fillId="0" borderId="0" xfId="0" applyBorder="1" applyAlignment="1" applyProtection="1">
      <alignment horizontal="center" vertical="center"/>
    </xf>
    <xf numFmtId="4" fontId="13" fillId="0" borderId="0" xfId="0" applyNumberFormat="1" applyFont="1" applyAlignment="1" applyProtection="1">
      <alignment vertical="center" wrapText="1"/>
    </xf>
    <xf numFmtId="0" fontId="0" fillId="6" borderId="0" xfId="0" applyFill="1" applyBorder="1" applyProtection="1"/>
    <xf numFmtId="0" fontId="4" fillId="6" borderId="0" xfId="0" applyFont="1" applyFill="1" applyBorder="1" applyProtection="1"/>
    <xf numFmtId="166" fontId="0" fillId="6" borderId="0" xfId="1" applyNumberFormat="1" applyFont="1" applyFill="1" applyBorder="1" applyProtection="1"/>
    <xf numFmtId="0" fontId="9" fillId="2" borderId="36" xfId="3" applyFont="1" applyBorder="1" applyProtection="1"/>
    <xf numFmtId="0" fontId="9" fillId="2" borderId="37" xfId="3" applyFont="1" applyBorder="1" applyProtection="1"/>
    <xf numFmtId="3" fontId="9" fillId="2" borderId="38" xfId="3" applyNumberFormat="1" applyFont="1" applyBorder="1" applyProtection="1"/>
    <xf numFmtId="0" fontId="22" fillId="5" borderId="12" xfId="4" applyFont="1" applyFill="1" applyBorder="1" applyProtection="1"/>
    <xf numFmtId="0" fontId="4" fillId="0" borderId="0" xfId="0" applyFont="1" applyBorder="1" applyProtection="1"/>
    <xf numFmtId="0" fontId="9" fillId="0" borderId="24" xfId="0" applyFont="1" applyBorder="1" applyProtection="1"/>
    <xf numFmtId="3" fontId="9" fillId="0" borderId="26" xfId="0" applyNumberFormat="1" applyFont="1" applyBorder="1" applyProtection="1"/>
    <xf numFmtId="0" fontId="9" fillId="0" borderId="21" xfId="0" applyFont="1" applyBorder="1" applyProtection="1"/>
    <xf numFmtId="0" fontId="9" fillId="0" borderId="0" xfId="0" applyFont="1" applyBorder="1" applyProtection="1"/>
    <xf numFmtId="0" fontId="9" fillId="0" borderId="12" xfId="0" applyFont="1" applyBorder="1" applyProtection="1"/>
    <xf numFmtId="3" fontId="9" fillId="0" borderId="22" xfId="0" applyNumberFormat="1" applyFont="1" applyBorder="1" applyAlignment="1" applyProtection="1">
      <alignment horizontal="center"/>
    </xf>
    <xf numFmtId="3" fontId="9" fillId="0" borderId="13" xfId="0" applyNumberFormat="1" applyFont="1" applyBorder="1" applyProtection="1"/>
    <xf numFmtId="0" fontId="9" fillId="0" borderId="14" xfId="0" applyFont="1" applyBorder="1" applyProtection="1"/>
    <xf numFmtId="9" fontId="9" fillId="0" borderId="0" xfId="2" applyFont="1" applyBorder="1" applyProtection="1"/>
    <xf numFmtId="165" fontId="9" fillId="0" borderId="0" xfId="2" applyNumberFormat="1" applyFont="1" applyBorder="1" applyProtection="1"/>
    <xf numFmtId="3" fontId="0" fillId="0" borderId="31" xfId="0" applyNumberFormat="1" applyBorder="1" applyProtection="1"/>
    <xf numFmtId="0" fontId="26" fillId="0" borderId="0" xfId="0" applyFont="1" applyBorder="1" applyProtection="1"/>
    <xf numFmtId="3" fontId="0" fillId="0" borderId="4" xfId="0" applyNumberFormat="1" applyBorder="1" applyProtection="1"/>
    <xf numFmtId="3" fontId="0" fillId="0" borderId="33" xfId="0" applyNumberFormat="1" applyBorder="1" applyProtection="1"/>
    <xf numFmtId="0" fontId="0" fillId="0" borderId="31" xfId="0" applyBorder="1" applyAlignment="1" applyProtection="1">
      <alignment vertical="top"/>
    </xf>
    <xf numFmtId="3" fontId="9" fillId="2" borderId="14" xfId="3" applyNumberFormat="1" applyFont="1" applyBorder="1" applyProtection="1"/>
    <xf numFmtId="9" fontId="9" fillId="2" borderId="16" xfId="2" applyFont="1" applyFill="1" applyBorder="1" applyProtection="1"/>
    <xf numFmtId="0" fontId="26" fillId="0" borderId="0" xfId="0" applyFont="1" applyFill="1" applyBorder="1" applyProtection="1"/>
    <xf numFmtId="0" fontId="0" fillId="0" borderId="0" xfId="0" applyBorder="1" applyAlignment="1" applyProtection="1">
      <alignment horizontal="center" wrapText="1"/>
    </xf>
    <xf numFmtId="0" fontId="9" fillId="0" borderId="13" xfId="0" applyFont="1" applyFill="1" applyBorder="1" applyAlignment="1" applyProtection="1">
      <alignment horizontal="center"/>
    </xf>
    <xf numFmtId="3" fontId="0" fillId="0" borderId="0" xfId="0" applyNumberFormat="1" applyFill="1" applyBorder="1" applyProtection="1"/>
    <xf numFmtId="0" fontId="7" fillId="0" borderId="1" xfId="0" applyFont="1" applyBorder="1" applyProtection="1"/>
    <xf numFmtId="164" fontId="8" fillId="0" borderId="2" xfId="0" applyNumberFormat="1" applyFont="1" applyBorder="1" applyProtection="1"/>
    <xf numFmtId="0" fontId="0" fillId="0" borderId="3" xfId="0" applyBorder="1" applyProtection="1"/>
    <xf numFmtId="0" fontId="28" fillId="0" borderId="1" xfId="0" applyFont="1" applyBorder="1" applyProtection="1"/>
    <xf numFmtId="0" fontId="28" fillId="0" borderId="2" xfId="0" applyFont="1" applyBorder="1" applyProtection="1"/>
    <xf numFmtId="0" fontId="4" fillId="0" borderId="3" xfId="0" applyFont="1" applyBorder="1" applyAlignment="1" applyProtection="1">
      <alignment wrapText="1"/>
    </xf>
    <xf numFmtId="0" fontId="0" fillId="6" borderId="4" xfId="0" applyFill="1" applyBorder="1" applyProtection="1"/>
    <xf numFmtId="0" fontId="0" fillId="6" borderId="8" xfId="0" applyFill="1" applyBorder="1" applyProtection="1"/>
    <xf numFmtId="0" fontId="4" fillId="0" borderId="2" xfId="0" applyFont="1" applyBorder="1" applyAlignment="1" applyProtection="1">
      <alignment wrapText="1"/>
    </xf>
    <xf numFmtId="165" fontId="9" fillId="9" borderId="10" xfId="4" applyNumberFormat="1" applyFont="1" applyFill="1" applyBorder="1" applyProtection="1"/>
    <xf numFmtId="165" fontId="9" fillId="9" borderId="18" xfId="4" applyNumberFormat="1" applyFont="1" applyFill="1" applyBorder="1" applyProtection="1"/>
    <xf numFmtId="165" fontId="9" fillId="9" borderId="13" xfId="4" applyNumberFormat="1" applyFont="1" applyFill="1" applyBorder="1" applyProtection="1"/>
    <xf numFmtId="14" fontId="0" fillId="0" borderId="0" xfId="0" applyNumberFormat="1" applyBorder="1" applyProtection="1"/>
    <xf numFmtId="4" fontId="0" fillId="0" borderId="0" xfId="0" applyNumberFormat="1" applyBorder="1" applyProtection="1"/>
    <xf numFmtId="0" fontId="0" fillId="0" borderId="3" xfId="0" applyBorder="1" applyAlignment="1" applyProtection="1">
      <alignment horizontal="center"/>
    </xf>
    <xf numFmtId="3" fontId="9" fillId="5" borderId="25" xfId="4" applyNumberFormat="1" applyFont="1" applyFill="1" applyBorder="1" applyAlignment="1" applyProtection="1">
      <alignment horizontal="center"/>
    </xf>
    <xf numFmtId="164" fontId="0" fillId="0" borderId="2" xfId="0" applyNumberFormat="1" applyBorder="1" applyProtection="1"/>
    <xf numFmtId="0" fontId="6" fillId="0" borderId="31" xfId="0" applyFont="1" applyBorder="1" applyAlignment="1" applyProtection="1">
      <alignment vertical="center" wrapText="1"/>
    </xf>
    <xf numFmtId="4" fontId="6" fillId="0" borderId="31" xfId="0" applyNumberFormat="1" applyFont="1" applyBorder="1" applyAlignment="1" applyProtection="1">
      <alignment vertical="center" wrapText="1"/>
    </xf>
    <xf numFmtId="0" fontId="29" fillId="6" borderId="2" xfId="0" applyFont="1" applyFill="1" applyBorder="1" applyProtection="1"/>
    <xf numFmtId="0" fontId="0" fillId="4" borderId="1" xfId="0" applyFill="1" applyBorder="1" applyProtection="1"/>
    <xf numFmtId="164" fontId="0" fillId="5" borderId="49" xfId="0" applyNumberFormat="1" applyFill="1" applyBorder="1" applyProtection="1"/>
    <xf numFmtId="4" fontId="0" fillId="5" borderId="50" xfId="0" applyNumberFormat="1" applyFill="1" applyBorder="1" applyProtection="1"/>
    <xf numFmtId="0" fontId="0" fillId="5" borderId="49" xfId="0" applyFill="1" applyBorder="1" applyProtection="1"/>
    <xf numFmtId="0" fontId="0" fillId="5" borderId="51" xfId="0" applyFill="1" applyBorder="1" applyProtection="1"/>
    <xf numFmtId="4" fontId="0" fillId="5" borderId="52" xfId="0" applyNumberFormat="1" applyFill="1" applyBorder="1" applyProtection="1"/>
    <xf numFmtId="0" fontId="7" fillId="6" borderId="1" xfId="0" applyFont="1" applyFill="1" applyBorder="1" applyProtection="1"/>
    <xf numFmtId="0" fontId="0" fillId="6" borderId="3" xfId="0" applyFill="1" applyBorder="1" applyProtection="1"/>
    <xf numFmtId="0" fontId="4" fillId="4" borderId="23" xfId="0" applyFont="1" applyFill="1" applyBorder="1" applyProtection="1"/>
    <xf numFmtId="0" fontId="0" fillId="4" borderId="5" xfId="0" applyFill="1" applyBorder="1" applyProtection="1"/>
    <xf numFmtId="0" fontId="0" fillId="4" borderId="20" xfId="0" applyFill="1" applyBorder="1" applyProtection="1"/>
    <xf numFmtId="164" fontId="0" fillId="4" borderId="20" xfId="0" applyNumberFormat="1" applyFill="1" applyBorder="1" applyAlignment="1" applyProtection="1">
      <alignment horizontal="center"/>
    </xf>
    <xf numFmtId="0" fontId="0" fillId="4" borderId="20" xfId="0" applyFill="1" applyBorder="1" applyAlignment="1" applyProtection="1">
      <alignment horizontal="center"/>
    </xf>
    <xf numFmtId="0" fontId="0" fillId="4" borderId="23" xfId="0" applyFill="1" applyBorder="1" applyAlignment="1" applyProtection="1">
      <alignment horizontal="center"/>
    </xf>
    <xf numFmtId="167" fontId="0" fillId="0" borderId="43" xfId="0" applyNumberFormat="1" applyBorder="1" applyProtection="1"/>
    <xf numFmtId="0" fontId="0" fillId="0" borderId="54" xfId="0" applyBorder="1" applyProtection="1"/>
    <xf numFmtId="164" fontId="9" fillId="2" borderId="54" xfId="3" applyNumberFormat="1" applyFont="1" applyBorder="1" applyProtection="1"/>
    <xf numFmtId="166" fontId="9" fillId="7" borderId="54" xfId="1" applyNumberFormat="1" applyFont="1" applyFill="1" applyBorder="1" applyProtection="1"/>
    <xf numFmtId="166" fontId="9" fillId="7" borderId="44" xfId="1" applyNumberFormat="1" applyFont="1" applyFill="1" applyBorder="1" applyProtection="1"/>
    <xf numFmtId="167" fontId="0" fillId="0" borderId="49" xfId="0" applyNumberFormat="1" applyBorder="1" applyProtection="1"/>
    <xf numFmtId="0" fontId="0" fillId="0" borderId="55" xfId="0" applyBorder="1" applyProtection="1"/>
    <xf numFmtId="164" fontId="9" fillId="2" borderId="55" xfId="3" applyNumberFormat="1" applyFont="1" applyBorder="1" applyProtection="1"/>
    <xf numFmtId="166" fontId="9" fillId="7" borderId="55" xfId="1" applyNumberFormat="1" applyFont="1" applyFill="1" applyBorder="1" applyProtection="1"/>
    <xf numFmtId="166" fontId="9" fillId="7" borderId="50" xfId="1" applyNumberFormat="1" applyFont="1" applyFill="1" applyBorder="1" applyProtection="1"/>
    <xf numFmtId="0" fontId="0" fillId="6" borderId="55" xfId="0" applyFill="1" applyBorder="1" applyProtection="1"/>
    <xf numFmtId="0" fontId="0" fillId="0" borderId="55" xfId="0" applyFill="1" applyBorder="1" applyProtection="1"/>
    <xf numFmtId="164" fontId="2" fillId="9" borderId="55" xfId="3" applyNumberFormat="1" applyFill="1" applyBorder="1" applyProtection="1"/>
    <xf numFmtId="167" fontId="0" fillId="0" borderId="51" xfId="0" applyNumberFormat="1" applyBorder="1" applyProtection="1"/>
    <xf numFmtId="0" fontId="0" fillId="0" borderId="56" xfId="0" applyBorder="1" applyProtection="1"/>
    <xf numFmtId="164" fontId="2" fillId="9" borderId="56" xfId="3" applyNumberFormat="1" applyFill="1" applyBorder="1" applyProtection="1"/>
    <xf numFmtId="166" fontId="9" fillId="7" borderId="56" xfId="1" applyNumberFormat="1" applyFont="1" applyFill="1" applyBorder="1" applyProtection="1"/>
    <xf numFmtId="166" fontId="9" fillId="7" borderId="52" xfId="1" applyNumberFormat="1" applyFont="1" applyFill="1" applyBorder="1" applyProtection="1"/>
    <xf numFmtId="0" fontId="0" fillId="4" borderId="33" xfId="0" applyFill="1" applyBorder="1" applyProtection="1"/>
    <xf numFmtId="0" fontId="0" fillId="4" borderId="31" xfId="0" applyFill="1" applyBorder="1" applyProtection="1"/>
    <xf numFmtId="0" fontId="0" fillId="4" borderId="57" xfId="0" applyFill="1" applyBorder="1" applyProtection="1"/>
    <xf numFmtId="0" fontId="0" fillId="4" borderId="58" xfId="0" applyFill="1" applyBorder="1" applyAlignment="1" applyProtection="1">
      <alignment horizontal="center"/>
    </xf>
    <xf numFmtId="0" fontId="0" fillId="4" borderId="31" xfId="0" applyFill="1" applyBorder="1" applyAlignment="1" applyProtection="1">
      <alignment horizontal="center"/>
    </xf>
    <xf numFmtId="0" fontId="0" fillId="4" borderId="57" xfId="0" applyFill="1" applyBorder="1" applyAlignment="1" applyProtection="1">
      <alignment horizontal="center"/>
    </xf>
    <xf numFmtId="0" fontId="0" fillId="4" borderId="32" xfId="0" applyFill="1" applyBorder="1" applyProtection="1"/>
    <xf numFmtId="14" fontId="0" fillId="6" borderId="43" xfId="0" applyNumberFormat="1" applyFill="1" applyBorder="1" applyProtection="1"/>
    <xf numFmtId="3" fontId="0" fillId="6" borderId="54" xfId="0" applyNumberFormat="1" applyFill="1" applyBorder="1" applyProtection="1"/>
    <xf numFmtId="3" fontId="0" fillId="6" borderId="59" xfId="0" applyNumberFormat="1" applyFill="1" applyBorder="1" applyProtection="1"/>
    <xf numFmtId="3" fontId="0" fillId="7" borderId="60" xfId="0" applyNumberFormat="1" applyFill="1" applyBorder="1" applyProtection="1"/>
    <xf numFmtId="3" fontId="0" fillId="7" borderId="54" xfId="0" applyNumberFormat="1" applyFill="1" applyBorder="1" applyProtection="1"/>
    <xf numFmtId="3" fontId="0" fillId="7" borderId="59" xfId="0" applyNumberFormat="1" applyFill="1" applyBorder="1" applyProtection="1"/>
    <xf numFmtId="3" fontId="0" fillId="7" borderId="60" xfId="0" applyNumberFormat="1" applyFill="1" applyBorder="1" applyAlignment="1" applyProtection="1">
      <alignment horizontal="center"/>
    </xf>
    <xf numFmtId="3" fontId="0" fillId="7" borderId="54" xfId="0" applyNumberFormat="1" applyFill="1" applyBorder="1" applyAlignment="1" applyProtection="1">
      <alignment horizontal="center"/>
    </xf>
    <xf numFmtId="3" fontId="0" fillId="7" borderId="44" xfId="0" applyNumberFormat="1" applyFill="1" applyBorder="1" applyAlignment="1" applyProtection="1">
      <alignment horizontal="center"/>
    </xf>
    <xf numFmtId="14" fontId="0" fillId="6" borderId="49" xfId="0" applyNumberFormat="1" applyFill="1" applyBorder="1" applyProtection="1"/>
    <xf numFmtId="3" fontId="0" fillId="6" borderId="55" xfId="0" applyNumberFormat="1" applyFill="1" applyBorder="1" applyProtection="1"/>
    <xf numFmtId="3" fontId="0" fillId="6" borderId="61" xfId="0" applyNumberFormat="1" applyFill="1" applyBorder="1" applyProtection="1"/>
    <xf numFmtId="3" fontId="0" fillId="7" borderId="62" xfId="0" applyNumberFormat="1" applyFill="1" applyBorder="1" applyProtection="1"/>
    <xf numFmtId="3" fontId="0" fillId="7" borderId="55" xfId="0" applyNumberFormat="1" applyFill="1" applyBorder="1" applyProtection="1"/>
    <xf numFmtId="3" fontId="0" fillId="7" borderId="61" xfId="0" applyNumberFormat="1" applyFill="1" applyBorder="1" applyProtection="1"/>
    <xf numFmtId="3" fontId="0" fillId="7" borderId="62" xfId="0" applyNumberFormat="1" applyFill="1" applyBorder="1" applyAlignment="1" applyProtection="1">
      <alignment horizontal="center"/>
    </xf>
    <xf numFmtId="3" fontId="0" fillId="7" borderId="55" xfId="0" applyNumberFormat="1" applyFill="1" applyBorder="1" applyAlignment="1" applyProtection="1">
      <alignment horizontal="center"/>
    </xf>
    <xf numFmtId="3" fontId="0" fillId="7" borderId="50" xfId="0" applyNumberFormat="1" applyFill="1" applyBorder="1" applyAlignment="1" applyProtection="1">
      <alignment horizontal="center"/>
    </xf>
    <xf numFmtId="14" fontId="0" fillId="6" borderId="51" xfId="0" applyNumberFormat="1" applyFill="1" applyBorder="1" applyProtection="1"/>
    <xf numFmtId="3" fontId="0" fillId="6" borderId="56" xfId="0" applyNumberFormat="1" applyFill="1" applyBorder="1" applyProtection="1"/>
    <xf numFmtId="3" fontId="0" fillId="6" borderId="63" xfId="0" applyNumberFormat="1" applyFill="1" applyBorder="1" applyProtection="1"/>
    <xf numFmtId="3" fontId="0" fillId="7" borderId="64" xfId="0" applyNumberFormat="1" applyFill="1" applyBorder="1" applyProtection="1"/>
    <xf numFmtId="3" fontId="0" fillId="7" borderId="56" xfId="0" applyNumberFormat="1" applyFill="1" applyBorder="1" applyProtection="1"/>
    <xf numFmtId="3" fontId="0" fillId="7" borderId="63" xfId="0" applyNumberFormat="1" applyFill="1" applyBorder="1" applyProtection="1"/>
    <xf numFmtId="3" fontId="0" fillId="7" borderId="64" xfId="0" applyNumberFormat="1" applyFill="1" applyBorder="1" applyAlignment="1" applyProtection="1">
      <alignment horizontal="center"/>
    </xf>
    <xf numFmtId="3" fontId="0" fillId="7" borderId="56" xfId="0" applyNumberFormat="1" applyFill="1" applyBorder="1" applyAlignment="1" applyProtection="1">
      <alignment horizontal="center"/>
    </xf>
    <xf numFmtId="3" fontId="0" fillId="7" borderId="52" xfId="0" applyNumberFormat="1" applyFill="1" applyBorder="1" applyAlignment="1" applyProtection="1">
      <alignment horizontal="center"/>
    </xf>
    <xf numFmtId="164" fontId="0" fillId="5" borderId="43" xfId="0" applyNumberFormat="1" applyFill="1" applyBorder="1" applyProtection="1"/>
    <xf numFmtId="4" fontId="0" fillId="5" borderId="44" xfId="0" applyNumberFormat="1" applyFill="1" applyBorder="1" applyProtection="1"/>
    <xf numFmtId="0" fontId="21" fillId="4" borderId="1" xfId="0" applyFont="1" applyFill="1" applyBorder="1" applyProtection="1"/>
    <xf numFmtId="0" fontId="0" fillId="4" borderId="2" xfId="0" applyFill="1" applyBorder="1" applyProtection="1"/>
    <xf numFmtId="0" fontId="0" fillId="4" borderId="3" xfId="0" applyFill="1" applyBorder="1" applyProtection="1"/>
    <xf numFmtId="0" fontId="0" fillId="4" borderId="33" xfId="0" applyFont="1" applyFill="1" applyBorder="1" applyAlignment="1" applyProtection="1">
      <alignment horizontal="right"/>
    </xf>
    <xf numFmtId="0" fontId="0" fillId="4" borderId="31" xfId="0" applyFont="1" applyFill="1" applyBorder="1" applyAlignment="1" applyProtection="1">
      <alignment horizontal="center"/>
    </xf>
    <xf numFmtId="0" fontId="0" fillId="4" borderId="32" xfId="0" applyFont="1" applyFill="1" applyBorder="1" applyAlignment="1" applyProtection="1">
      <alignment horizontal="center"/>
    </xf>
    <xf numFmtId="166" fontId="4" fillId="7" borderId="43" xfId="1" applyNumberFormat="1" applyFont="1" applyFill="1" applyBorder="1" applyProtection="1"/>
    <xf numFmtId="166" fontId="0" fillId="7" borderId="54" xfId="1" applyNumberFormat="1" applyFont="1" applyFill="1" applyBorder="1" applyProtection="1"/>
    <xf numFmtId="166" fontId="0" fillId="7" borderId="44" xfId="1" applyNumberFormat="1" applyFont="1" applyFill="1" applyBorder="1" applyProtection="1"/>
    <xf numFmtId="166" fontId="4" fillId="7" borderId="49" xfId="1" applyNumberFormat="1" applyFont="1" applyFill="1" applyBorder="1" applyProtection="1"/>
    <xf numFmtId="166" fontId="0" fillId="7" borderId="55" xfId="1" applyNumberFormat="1" applyFont="1" applyFill="1" applyBorder="1" applyProtection="1"/>
    <xf numFmtId="166" fontId="0" fillId="7" borderId="50" xfId="1" applyNumberFormat="1" applyFont="1" applyFill="1" applyBorder="1" applyProtection="1"/>
    <xf numFmtId="166" fontId="4" fillId="7" borderId="51" xfId="1" applyNumberFormat="1" applyFont="1" applyFill="1" applyBorder="1" applyProtection="1"/>
    <xf numFmtId="166" fontId="0" fillId="7" borderId="56" xfId="1" applyNumberFormat="1" applyFont="1" applyFill="1" applyBorder="1" applyProtection="1"/>
    <xf numFmtId="166" fontId="0" fillId="7" borderId="52" xfId="1" applyNumberFormat="1" applyFont="1" applyFill="1" applyBorder="1" applyProtection="1"/>
    <xf numFmtId="0" fontId="0" fillId="4" borderId="33" xfId="0" applyFont="1" applyFill="1" applyBorder="1" applyProtection="1"/>
    <xf numFmtId="0" fontId="0" fillId="4" borderId="31" xfId="0" applyFont="1" applyFill="1" applyBorder="1" applyProtection="1"/>
    <xf numFmtId="0" fontId="0" fillId="4" borderId="32" xfId="0" applyFont="1" applyFill="1" applyBorder="1" applyProtection="1"/>
    <xf numFmtId="166" fontId="0" fillId="7" borderId="43" xfId="1" applyNumberFormat="1" applyFont="1" applyFill="1" applyBorder="1" applyProtection="1"/>
    <xf numFmtId="166" fontId="0" fillId="7" borderId="49" xfId="1" applyNumberFormat="1" applyFont="1" applyFill="1" applyBorder="1" applyProtection="1"/>
    <xf numFmtId="166" fontId="0" fillId="7" borderId="51" xfId="1" applyNumberFormat="1" applyFont="1" applyFill="1" applyBorder="1" applyProtection="1"/>
    <xf numFmtId="0" fontId="0" fillId="4" borderId="2" xfId="0" applyFont="1" applyFill="1" applyBorder="1" applyProtection="1"/>
    <xf numFmtId="0" fontId="23" fillId="4" borderId="2" xfId="0" applyFont="1" applyFill="1" applyBorder="1" applyAlignment="1" applyProtection="1">
      <alignment horizontal="right"/>
    </xf>
    <xf numFmtId="3" fontId="23" fillId="4" borderId="2" xfId="0" applyNumberFormat="1" applyFont="1" applyFill="1" applyBorder="1" applyProtection="1"/>
    <xf numFmtId="0" fontId="25" fillId="4" borderId="31" xfId="6" applyFont="1" applyFill="1" applyBorder="1" applyProtection="1"/>
    <xf numFmtId="0" fontId="0" fillId="7" borderId="43" xfId="0" applyFill="1" applyBorder="1" applyProtection="1"/>
    <xf numFmtId="0" fontId="0" fillId="7" borderId="54" xfId="0" applyFill="1" applyBorder="1" applyProtection="1"/>
    <xf numFmtId="9" fontId="9" fillId="7" borderId="44" xfId="2" applyFont="1" applyFill="1" applyBorder="1" applyProtection="1"/>
    <xf numFmtId="0" fontId="0" fillId="7" borderId="49" xfId="0" applyFill="1" applyBorder="1" applyProtection="1"/>
    <xf numFmtId="0" fontId="0" fillId="7" borderId="55" xfId="0" applyFill="1" applyBorder="1" applyProtection="1"/>
    <xf numFmtId="166" fontId="25" fillId="7" borderId="55" xfId="1" applyNumberFormat="1" applyFont="1" applyFill="1" applyBorder="1" applyProtection="1"/>
    <xf numFmtId="9" fontId="9" fillId="7" borderId="50" xfId="2" applyFont="1" applyFill="1" applyBorder="1" applyProtection="1"/>
    <xf numFmtId="9" fontId="9" fillId="7" borderId="50" xfId="2" applyNumberFormat="1" applyFont="1" applyFill="1" applyBorder="1" applyProtection="1"/>
    <xf numFmtId="0" fontId="0" fillId="7" borderId="51" xfId="0" applyFill="1" applyBorder="1" applyProtection="1"/>
    <xf numFmtId="0" fontId="0" fillId="7" borderId="56" xfId="0" applyFill="1" applyBorder="1" applyProtection="1"/>
    <xf numFmtId="9" fontId="9" fillId="7" borderId="52" xfId="2" applyFont="1" applyFill="1" applyBorder="1" applyProtection="1"/>
    <xf numFmtId="0" fontId="27" fillId="4" borderId="1" xfId="0" applyFont="1" applyFill="1" applyBorder="1" applyProtection="1"/>
    <xf numFmtId="0" fontId="6" fillId="4" borderId="2" xfId="0" applyFont="1" applyFill="1" applyBorder="1" applyAlignment="1" applyProtection="1">
      <alignment vertical="center" wrapText="1"/>
    </xf>
    <xf numFmtId="0" fontId="0" fillId="5" borderId="43" xfId="0" applyFont="1" applyFill="1" applyBorder="1" applyProtection="1"/>
    <xf numFmtId="0" fontId="6" fillId="5" borderId="54" xfId="0" applyFont="1" applyFill="1" applyBorder="1" applyAlignment="1" applyProtection="1">
      <alignment vertical="center" wrapText="1"/>
    </xf>
    <xf numFmtId="4" fontId="9" fillId="5" borderId="54" xfId="0" applyNumberFormat="1" applyFont="1" applyFill="1" applyBorder="1" applyAlignment="1" applyProtection="1">
      <alignment vertical="center"/>
    </xf>
    <xf numFmtId="0" fontId="0" fillId="5" borderId="54" xfId="0" applyFill="1" applyBorder="1" applyProtection="1"/>
    <xf numFmtId="0" fontId="0" fillId="5" borderId="44" xfId="0" applyFill="1" applyBorder="1" applyProtection="1"/>
    <xf numFmtId="0" fontId="0" fillId="5" borderId="49" xfId="0" applyFill="1" applyBorder="1" applyAlignment="1" applyProtection="1">
      <alignment vertical="top" wrapText="1"/>
    </xf>
    <xf numFmtId="0" fontId="0" fillId="5" borderId="55" xfId="0" applyFill="1" applyBorder="1" applyAlignment="1" applyProtection="1">
      <alignment vertical="top" wrapText="1"/>
    </xf>
    <xf numFmtId="4" fontId="9" fillId="5" borderId="55" xfId="0" applyNumberFormat="1" applyFont="1" applyFill="1" applyBorder="1" applyAlignment="1" applyProtection="1">
      <alignment vertical="center"/>
    </xf>
    <xf numFmtId="0" fontId="0" fillId="5" borderId="55" xfId="0" applyFill="1" applyBorder="1" applyProtection="1"/>
    <xf numFmtId="0" fontId="0" fillId="5" borderId="50" xfId="0" applyFill="1" applyBorder="1" applyProtection="1"/>
    <xf numFmtId="4" fontId="6" fillId="5" borderId="55" xfId="0" applyNumberFormat="1" applyFont="1" applyFill="1" applyBorder="1" applyAlignment="1" applyProtection="1">
      <alignment vertical="center" wrapText="1"/>
    </xf>
    <xf numFmtId="0" fontId="6" fillId="5" borderId="56" xfId="0" applyFont="1" applyFill="1" applyBorder="1" applyAlignment="1" applyProtection="1">
      <alignment vertical="center" wrapText="1"/>
    </xf>
    <xf numFmtId="4" fontId="6" fillId="5" borderId="56" xfId="0" applyNumberFormat="1" applyFont="1" applyFill="1" applyBorder="1" applyAlignment="1" applyProtection="1">
      <alignment vertical="center" wrapText="1"/>
    </xf>
    <xf numFmtId="0" fontId="0" fillId="5" borderId="56" xfId="0" applyFill="1" applyBorder="1" applyProtection="1"/>
    <xf numFmtId="0" fontId="0" fillId="5" borderId="52" xfId="0" applyFill="1" applyBorder="1" applyProtection="1"/>
    <xf numFmtId="0" fontId="0" fillId="6" borderId="9" xfId="0" applyFill="1" applyBorder="1" applyProtection="1"/>
    <xf numFmtId="1" fontId="9" fillId="6" borderId="11" xfId="0" applyNumberFormat="1" applyFont="1" applyFill="1" applyBorder="1" applyAlignment="1" applyProtection="1">
      <alignment horizontal="center" vertical="center"/>
    </xf>
    <xf numFmtId="0" fontId="0" fillId="6" borderId="12" xfId="0" applyFill="1" applyBorder="1" applyProtection="1"/>
    <xf numFmtId="1" fontId="10" fillId="6" borderId="42" xfId="0" applyNumberFormat="1" applyFont="1" applyFill="1" applyBorder="1" applyAlignment="1" applyProtection="1">
      <alignment horizontal="center" vertical="center"/>
    </xf>
    <xf numFmtId="3" fontId="0" fillId="0" borderId="55" xfId="0" applyNumberFormat="1" applyBorder="1" applyProtection="1"/>
    <xf numFmtId="164" fontId="0" fillId="0" borderId="50" xfId="0" applyNumberFormat="1" applyBorder="1" applyProtection="1"/>
    <xf numFmtId="164" fontId="0" fillId="0" borderId="49" xfId="0" applyNumberFormat="1" applyBorder="1" applyProtection="1"/>
    <xf numFmtId="164" fontId="0" fillId="0" borderId="51" xfId="0" applyNumberFormat="1" applyBorder="1" applyProtection="1"/>
    <xf numFmtId="3" fontId="0" fillId="0" borderId="56" xfId="0" applyNumberFormat="1" applyBorder="1" applyProtection="1"/>
    <xf numFmtId="164" fontId="0" fillId="0" borderId="52" xfId="0" applyNumberFormat="1" applyBorder="1" applyProtection="1"/>
    <xf numFmtId="164" fontId="0" fillId="0" borderId="24" xfId="0" applyNumberFormat="1" applyBorder="1" applyProtection="1"/>
    <xf numFmtId="3" fontId="0" fillId="0" borderId="45" xfId="0" applyNumberFormat="1" applyBorder="1" applyProtection="1"/>
    <xf numFmtId="164" fontId="0" fillId="0" borderId="46" xfId="0" applyNumberFormat="1" applyBorder="1" applyProtection="1"/>
    <xf numFmtId="0" fontId="9" fillId="5" borderId="33" xfId="4" applyFont="1" applyFill="1" applyBorder="1" applyProtection="1"/>
    <xf numFmtId="164" fontId="9" fillId="5" borderId="32" xfId="4" applyNumberFormat="1" applyFont="1" applyFill="1" applyBorder="1" applyProtection="1"/>
    <xf numFmtId="0" fontId="7" fillId="6" borderId="5" xfId="0" applyFont="1" applyFill="1" applyBorder="1" applyProtection="1"/>
    <xf numFmtId="0" fontId="0" fillId="0" borderId="20" xfId="0" applyBorder="1" applyProtection="1"/>
    <xf numFmtId="0" fontId="0" fillId="0" borderId="23" xfId="0" applyBorder="1" applyProtection="1"/>
    <xf numFmtId="0" fontId="4" fillId="4" borderId="20" xfId="0" applyFont="1" applyFill="1" applyBorder="1" applyProtection="1"/>
    <xf numFmtId="0" fontId="0" fillId="6" borderId="0" xfId="0" applyFill="1" applyProtection="1"/>
    <xf numFmtId="0" fontId="0" fillId="6" borderId="35" xfId="0" applyFill="1" applyBorder="1" applyProtection="1">
      <protection locked="0"/>
    </xf>
    <xf numFmtId="0" fontId="0" fillId="6" borderId="1" xfId="0" applyFill="1" applyBorder="1" applyProtection="1"/>
    <xf numFmtId="0" fontId="4" fillId="6" borderId="1" xfId="0" applyFont="1" applyFill="1" applyBorder="1" applyProtection="1"/>
    <xf numFmtId="0" fontId="0" fillId="6" borderId="5" xfId="0" applyFill="1" applyBorder="1" applyProtection="1"/>
    <xf numFmtId="1" fontId="0" fillId="6" borderId="23" xfId="0" applyNumberFormat="1" applyFill="1" applyBorder="1" applyProtection="1"/>
    <xf numFmtId="0" fontId="6" fillId="0" borderId="2" xfId="0" applyFont="1" applyBorder="1" applyAlignment="1" applyProtection="1">
      <alignment vertical="center" wrapText="1"/>
    </xf>
    <xf numFmtId="2" fontId="0" fillId="0" borderId="2" xfId="0" applyNumberFormat="1" applyBorder="1" applyProtection="1"/>
    <xf numFmtId="0" fontId="30" fillId="0" borderId="4" xfId="0" applyFont="1" applyBorder="1" applyAlignment="1" applyProtection="1">
      <alignment vertical="center" wrapText="1"/>
    </xf>
    <xf numFmtId="0" fontId="30" fillId="0" borderId="0" xfId="0" applyFont="1" applyBorder="1" applyAlignment="1" applyProtection="1">
      <alignment vertical="center" wrapText="1"/>
    </xf>
    <xf numFmtId="0" fontId="9" fillId="0" borderId="8" xfId="0" applyFont="1" applyBorder="1" applyProtection="1"/>
    <xf numFmtId="0" fontId="9" fillId="0" borderId="49" xfId="0" applyFont="1" applyBorder="1" applyProtection="1"/>
    <xf numFmtId="0" fontId="9" fillId="0" borderId="55" xfId="0" applyFont="1" applyBorder="1" applyProtection="1"/>
    <xf numFmtId="2" fontId="9" fillId="0" borderId="55" xfId="0" applyNumberFormat="1" applyFont="1" applyBorder="1" applyAlignment="1" applyProtection="1">
      <alignment vertical="center" wrapText="1"/>
    </xf>
    <xf numFmtId="0" fontId="9" fillId="0" borderId="51" xfId="0" applyFont="1" applyBorder="1" applyProtection="1"/>
    <xf numFmtId="0" fontId="9" fillId="0" borderId="56" xfId="0" applyFont="1" applyBorder="1" applyProtection="1"/>
    <xf numFmtId="2" fontId="9" fillId="0" borderId="56" xfId="0" applyNumberFormat="1" applyFont="1" applyBorder="1" applyAlignment="1" applyProtection="1">
      <alignment vertical="center" wrapText="1"/>
    </xf>
    <xf numFmtId="0" fontId="9" fillId="0" borderId="45" xfId="0" applyFont="1" applyBorder="1" applyProtection="1"/>
    <xf numFmtId="2" fontId="9" fillId="0" borderId="45" xfId="0" applyNumberFormat="1" applyFont="1" applyBorder="1" applyAlignment="1" applyProtection="1">
      <alignment vertical="center" wrapText="1"/>
    </xf>
    <xf numFmtId="0" fontId="11" fillId="4" borderId="1" xfId="0" applyFont="1" applyFill="1" applyBorder="1" applyProtection="1"/>
    <xf numFmtId="0" fontId="9" fillId="4" borderId="2" xfId="0" applyFont="1" applyFill="1" applyBorder="1" applyProtection="1"/>
    <xf numFmtId="0" fontId="11" fillId="4" borderId="2" xfId="0" applyFont="1" applyFill="1" applyBorder="1" applyProtection="1"/>
    <xf numFmtId="0" fontId="9" fillId="4" borderId="3" xfId="0" applyFont="1" applyFill="1" applyBorder="1" applyProtection="1"/>
    <xf numFmtId="0" fontId="9" fillId="4" borderId="33" xfId="0" applyFont="1" applyFill="1" applyBorder="1" applyProtection="1"/>
    <xf numFmtId="0" fontId="9" fillId="4" borderId="31" xfId="0" applyFont="1" applyFill="1" applyBorder="1" applyProtection="1"/>
    <xf numFmtId="0" fontId="9" fillId="4" borderId="31" xfId="0" applyFont="1" applyFill="1" applyBorder="1" applyAlignment="1" applyProtection="1">
      <alignment vertical="center" wrapText="1"/>
    </xf>
    <xf numFmtId="4" fontId="9" fillId="4" borderId="31" xfId="0" applyNumberFormat="1" applyFont="1" applyFill="1" applyBorder="1" applyAlignment="1" applyProtection="1">
      <alignment vertical="center" wrapText="1"/>
    </xf>
    <xf numFmtId="0" fontId="9" fillId="4" borderId="32" xfId="0" applyFont="1" applyFill="1" applyBorder="1" applyProtection="1"/>
    <xf numFmtId="0" fontId="11" fillId="4" borderId="3" xfId="0" applyFont="1" applyFill="1" applyBorder="1" applyAlignment="1" applyProtection="1">
      <alignment horizontal="center"/>
    </xf>
    <xf numFmtId="4" fontId="22" fillId="0" borderId="31" xfId="0" applyNumberFormat="1" applyFont="1" applyBorder="1" applyAlignment="1" applyProtection="1">
      <alignment vertical="center"/>
    </xf>
    <xf numFmtId="0" fontId="9" fillId="0" borderId="31" xfId="0" applyFont="1" applyBorder="1" applyProtection="1"/>
    <xf numFmtId="2" fontId="9" fillId="7" borderId="31" xfId="4" applyNumberFormat="1" applyFont="1" applyFill="1" applyBorder="1" applyAlignment="1" applyProtection="1">
      <alignment horizontal="center"/>
    </xf>
    <xf numFmtId="4" fontId="9" fillId="0" borderId="31" xfId="4" applyNumberFormat="1" applyFont="1" applyFill="1" applyBorder="1" applyAlignment="1" applyProtection="1">
      <alignment horizontal="right" vertical="center"/>
    </xf>
    <xf numFmtId="0" fontId="9" fillId="5" borderId="31" xfId="4" applyFont="1" applyFill="1" applyBorder="1" applyProtection="1"/>
    <xf numFmtId="3" fontId="0" fillId="6" borderId="50" xfId="0" applyNumberFormat="1" applyFill="1" applyBorder="1" applyProtection="1"/>
    <xf numFmtId="3" fontId="0" fillId="6" borderId="52" xfId="0" applyNumberFormat="1" applyFill="1" applyBorder="1" applyProtection="1"/>
    <xf numFmtId="14" fontId="0" fillId="6" borderId="24" xfId="0" applyNumberFormat="1" applyFill="1" applyBorder="1" applyProtection="1"/>
    <xf numFmtId="3" fontId="0" fillId="6" borderId="45" xfId="0" applyNumberFormat="1" applyFill="1" applyBorder="1" applyProtection="1"/>
    <xf numFmtId="3" fontId="0" fillId="6" borderId="44" xfId="0" applyNumberFormat="1" applyFill="1" applyBorder="1" applyProtection="1"/>
    <xf numFmtId="3" fontId="0" fillId="6" borderId="46" xfId="0" applyNumberFormat="1" applyFill="1" applyBorder="1" applyProtection="1"/>
    <xf numFmtId="0" fontId="29" fillId="4" borderId="1" xfId="0" applyFont="1" applyFill="1" applyBorder="1" applyProtection="1"/>
    <xf numFmtId="0" fontId="0" fillId="4" borderId="32" xfId="0" applyFill="1" applyBorder="1" applyAlignment="1" applyProtection="1">
      <alignment horizontal="center"/>
    </xf>
    <xf numFmtId="0" fontId="28" fillId="0" borderId="5" xfId="0" applyFont="1" applyBorder="1" applyProtection="1"/>
    <xf numFmtId="0" fontId="28" fillId="0" borderId="20" xfId="0" applyFont="1" applyBorder="1" applyProtection="1"/>
    <xf numFmtId="0" fontId="29" fillId="6" borderId="34" xfId="0" applyFont="1" applyFill="1" applyBorder="1" applyAlignment="1" applyProtection="1">
      <alignment horizontal="right"/>
    </xf>
    <xf numFmtId="0" fontId="0" fillId="6" borderId="0" xfId="0" applyFill="1"/>
    <xf numFmtId="0" fontId="0" fillId="6" borderId="0" xfId="0" applyFill="1" applyAlignment="1" applyProtection="1">
      <alignment wrapText="1"/>
    </xf>
    <xf numFmtId="0" fontId="34" fillId="6" borderId="0" xfId="0" applyFont="1" applyFill="1" applyProtection="1"/>
    <xf numFmtId="0" fontId="0" fillId="6" borderId="0" xfId="0" applyFill="1" applyAlignment="1" applyProtection="1">
      <alignment horizontal="right"/>
    </xf>
    <xf numFmtId="0" fontId="4" fillId="6" borderId="0" xfId="0" applyFont="1" applyFill="1" applyProtection="1"/>
    <xf numFmtId="0" fontId="33" fillId="6" borderId="0" xfId="0" applyFont="1" applyFill="1" applyProtection="1"/>
    <xf numFmtId="0" fontId="3" fillId="6" borderId="34" xfId="4" applyFill="1" applyBorder="1" applyProtection="1"/>
    <xf numFmtId="0" fontId="32" fillId="6" borderId="0" xfId="0" applyFont="1" applyFill="1" applyProtection="1"/>
    <xf numFmtId="0" fontId="37" fillId="6" borderId="0" xfId="0" applyFont="1" applyFill="1" applyProtection="1"/>
    <xf numFmtId="0" fontId="3" fillId="6" borderId="0" xfId="4" applyFill="1" applyBorder="1" applyProtection="1"/>
    <xf numFmtId="0" fontId="3" fillId="5" borderId="34" xfId="4" applyFill="1" applyBorder="1" applyProtection="1"/>
    <xf numFmtId="0" fontId="3" fillId="9" borderId="34" xfId="4" applyFill="1" applyBorder="1" applyProtection="1"/>
    <xf numFmtId="0" fontId="3" fillId="7" borderId="34" xfId="4" applyFill="1" applyBorder="1" applyProtection="1"/>
    <xf numFmtId="0" fontId="0" fillId="6" borderId="0" xfId="0" applyFill="1" applyBorder="1" applyAlignment="1" applyProtection="1">
      <alignment horizontal="left" wrapText="1"/>
    </xf>
    <xf numFmtId="0" fontId="0" fillId="6" borderId="0" xfId="0" applyFill="1" applyAlignment="1" applyProtection="1">
      <alignment horizontal="left" wrapText="1"/>
    </xf>
    <xf numFmtId="166" fontId="25" fillId="7" borderId="56" xfId="1" applyNumberFormat="1" applyFont="1" applyFill="1" applyBorder="1" applyProtection="1"/>
    <xf numFmtId="2" fontId="9" fillId="7" borderId="24" xfId="0" applyNumberFormat="1" applyFont="1" applyFill="1" applyBorder="1" applyProtection="1"/>
    <xf numFmtId="3" fontId="9" fillId="7" borderId="45" xfId="0" applyNumberFormat="1" applyFont="1" applyFill="1" applyBorder="1" applyProtection="1"/>
    <xf numFmtId="2" fontId="9" fillId="7" borderId="46" xfId="3" applyNumberFormat="1" applyFont="1" applyFill="1" applyBorder="1" applyProtection="1"/>
    <xf numFmtId="0" fontId="9" fillId="7" borderId="46" xfId="0" applyFont="1" applyFill="1" applyBorder="1" applyProtection="1"/>
    <xf numFmtId="2" fontId="9" fillId="7" borderId="49" xfId="0" applyNumberFormat="1" applyFont="1" applyFill="1" applyBorder="1" applyProtection="1"/>
    <xf numFmtId="3" fontId="9" fillId="7" borderId="55" xfId="0" applyNumberFormat="1" applyFont="1" applyFill="1" applyBorder="1" applyProtection="1"/>
    <xf numFmtId="2" fontId="9" fillId="7" borderId="50" xfId="3" applyNumberFormat="1" applyFont="1" applyFill="1" applyBorder="1" applyProtection="1"/>
    <xf numFmtId="3" fontId="9" fillId="7" borderId="50" xfId="0" applyNumberFormat="1" applyFont="1" applyFill="1" applyBorder="1" applyProtection="1"/>
    <xf numFmtId="2" fontId="9" fillId="7" borderId="51" xfId="0" applyNumberFormat="1" applyFont="1" applyFill="1" applyBorder="1" applyProtection="1"/>
    <xf numFmtId="3" fontId="9" fillId="7" borderId="56" xfId="0" applyNumberFormat="1" applyFont="1" applyFill="1" applyBorder="1" applyProtection="1"/>
    <xf numFmtId="2" fontId="9" fillId="7" borderId="52" xfId="3" applyNumberFormat="1" applyFont="1" applyFill="1" applyBorder="1" applyProtection="1"/>
    <xf numFmtId="3" fontId="9" fillId="7" borderId="52" xfId="0" applyNumberFormat="1" applyFont="1" applyFill="1" applyBorder="1" applyProtection="1"/>
    <xf numFmtId="3" fontId="0" fillId="7" borderId="45" xfId="0" applyNumberFormat="1" applyFill="1" applyBorder="1" applyProtection="1"/>
    <xf numFmtId="3" fontId="0" fillId="7" borderId="46" xfId="0" applyNumberFormat="1" applyFill="1" applyBorder="1" applyAlignment="1" applyProtection="1">
      <alignment horizontal="center"/>
    </xf>
    <xf numFmtId="166" fontId="9" fillId="7" borderId="46" xfId="1" applyNumberFormat="1" applyFont="1" applyFill="1" applyBorder="1" applyProtection="1"/>
    <xf numFmtId="0" fontId="0" fillId="6" borderId="4" xfId="0" applyFill="1" applyBorder="1" applyAlignment="1" applyProtection="1">
      <alignment horizontal="left" wrapText="1"/>
    </xf>
    <xf numFmtId="0" fontId="0" fillId="6" borderId="0" xfId="0" applyFill="1" applyBorder="1" applyAlignment="1" applyProtection="1">
      <alignment horizontal="left" wrapText="1"/>
    </xf>
    <xf numFmtId="0" fontId="0" fillId="6" borderId="0" xfId="0" applyFill="1" applyBorder="1" applyAlignment="1" applyProtection="1">
      <alignment horizontal="left" vertical="top" wrapText="1"/>
    </xf>
    <xf numFmtId="0" fontId="0" fillId="6" borderId="0" xfId="0" applyFill="1" applyAlignment="1" applyProtection="1">
      <alignment wrapText="1"/>
    </xf>
    <xf numFmtId="0" fontId="36" fillId="6" borderId="0" xfId="0" applyFont="1" applyFill="1" applyAlignment="1" applyProtection="1">
      <alignment horizontal="center" wrapText="1"/>
    </xf>
    <xf numFmtId="0" fontId="0" fillId="6" borderId="0" xfId="0" applyFill="1" applyAlignment="1" applyProtection="1">
      <alignment horizontal="left" wrapText="1"/>
    </xf>
    <xf numFmtId="0" fontId="35" fillId="6" borderId="0" xfId="0" applyFont="1" applyFill="1" applyAlignment="1" applyProtection="1">
      <alignment horizontal="center" wrapText="1"/>
    </xf>
    <xf numFmtId="0" fontId="0" fillId="0" borderId="1" xfId="0" applyBorder="1" applyAlignment="1" applyProtection="1">
      <alignment vertical="top"/>
    </xf>
    <xf numFmtId="0" fontId="0" fillId="0" borderId="2" xfId="0" applyBorder="1" applyAlignment="1" applyProtection="1">
      <alignment vertical="top"/>
    </xf>
    <xf numFmtId="0" fontId="0" fillId="0" borderId="3" xfId="0" applyBorder="1" applyAlignment="1" applyProtection="1">
      <alignment vertical="top"/>
    </xf>
    <xf numFmtId="0" fontId="0" fillId="0" borderId="33" xfId="0" applyBorder="1" applyAlignment="1" applyProtection="1">
      <alignment vertical="top"/>
    </xf>
    <xf numFmtId="0" fontId="0" fillId="0" borderId="31" xfId="0" applyBorder="1" applyAlignment="1" applyProtection="1">
      <alignment vertical="top"/>
    </xf>
    <xf numFmtId="0" fontId="0" fillId="0" borderId="32" xfId="0" applyBorder="1" applyAlignment="1" applyProtection="1">
      <alignment vertical="top"/>
    </xf>
    <xf numFmtId="0" fontId="4" fillId="4" borderId="2" xfId="0" applyFont="1" applyFill="1" applyBorder="1" applyAlignment="1" applyProtection="1">
      <alignment horizontal="center" wrapText="1"/>
    </xf>
    <xf numFmtId="0" fontId="4" fillId="4" borderId="47" xfId="0" applyFont="1" applyFill="1" applyBorder="1" applyAlignment="1" applyProtection="1">
      <alignment horizontal="center" wrapText="1"/>
    </xf>
    <xf numFmtId="0" fontId="4" fillId="4" borderId="3" xfId="0" applyFont="1" applyFill="1" applyBorder="1" applyAlignment="1" applyProtection="1">
      <alignment horizontal="center" wrapText="1"/>
    </xf>
    <xf numFmtId="0" fontId="9" fillId="4" borderId="65" xfId="0" applyFont="1" applyFill="1" applyBorder="1" applyAlignment="1" applyProtection="1">
      <alignment horizontal="center" wrapText="1"/>
    </xf>
    <xf numFmtId="0" fontId="9" fillId="4" borderId="53" xfId="0" applyFont="1" applyFill="1" applyBorder="1" applyAlignment="1" applyProtection="1">
      <alignment horizontal="center" wrapText="1"/>
    </xf>
    <xf numFmtId="9" fontId="9" fillId="5" borderId="27" xfId="4" applyNumberFormat="1" applyFont="1" applyFill="1" applyBorder="1" applyAlignment="1" applyProtection="1">
      <alignment horizontal="center" vertical="center"/>
    </xf>
    <xf numFmtId="0" fontId="9" fillId="5" borderId="29" xfId="0" applyFont="1" applyFill="1" applyBorder="1" applyAlignment="1" applyProtection="1">
      <alignment horizontal="center" vertical="center"/>
    </xf>
    <xf numFmtId="3" fontId="0" fillId="5" borderId="28" xfId="0" applyNumberFormat="1" applyFill="1" applyBorder="1" applyAlignment="1" applyProtection="1">
      <alignment vertical="center" wrapText="1"/>
    </xf>
    <xf numFmtId="0" fontId="0" fillId="5" borderId="2" xfId="0" applyFill="1" applyBorder="1" applyAlignment="1" applyProtection="1">
      <alignment vertical="center" wrapText="1"/>
    </xf>
    <xf numFmtId="0" fontId="0" fillId="5" borderId="3" xfId="0" applyFill="1" applyBorder="1" applyAlignment="1" applyProtection="1">
      <alignment vertical="center" wrapText="1"/>
    </xf>
    <xf numFmtId="0" fontId="0" fillId="5" borderId="30" xfId="0" applyFill="1" applyBorder="1" applyAlignment="1" applyProtection="1">
      <alignment vertical="center" wrapText="1"/>
    </xf>
    <xf numFmtId="0" fontId="0" fillId="5" borderId="31" xfId="0" applyFill="1" applyBorder="1" applyAlignment="1" applyProtection="1">
      <alignment vertical="center" wrapText="1"/>
    </xf>
    <xf numFmtId="0" fontId="0" fillId="5" borderId="32" xfId="0" applyFill="1" applyBorder="1" applyAlignment="1" applyProtection="1">
      <alignment vertical="center" wrapText="1"/>
    </xf>
    <xf numFmtId="0" fontId="0" fillId="4" borderId="2" xfId="0" applyFont="1" applyFill="1" applyBorder="1" applyAlignment="1" applyProtection="1">
      <alignment horizontal="center" wrapText="1"/>
    </xf>
    <xf numFmtId="0" fontId="0" fillId="4" borderId="31" xfId="0" applyFont="1" applyFill="1" applyBorder="1" applyAlignment="1" applyProtection="1">
      <alignment horizontal="center" wrapText="1"/>
    </xf>
    <xf numFmtId="0" fontId="4" fillId="4" borderId="48" xfId="0" applyFont="1" applyFill="1" applyBorder="1" applyAlignment="1" applyProtection="1">
      <alignment horizontal="center"/>
    </xf>
    <xf numFmtId="0" fontId="4" fillId="4" borderId="2" xfId="0" applyFont="1" applyFill="1" applyBorder="1" applyAlignment="1" applyProtection="1">
      <alignment horizontal="center"/>
    </xf>
    <xf numFmtId="0" fontId="4" fillId="4" borderId="47" xfId="0" applyFont="1" applyFill="1" applyBorder="1" applyAlignment="1" applyProtection="1">
      <alignment horizontal="center"/>
    </xf>
    <xf numFmtId="0" fontId="0" fillId="6" borderId="41" xfId="0" applyFill="1" applyBorder="1" applyAlignment="1" applyProtection="1">
      <alignment horizontal="center" wrapText="1"/>
    </xf>
    <xf numFmtId="0" fontId="0" fillId="6" borderId="40" xfId="0" applyFill="1" applyBorder="1" applyAlignment="1" applyProtection="1">
      <alignment horizontal="center" wrapText="1"/>
    </xf>
    <xf numFmtId="0" fontId="0" fillId="0" borderId="1" xfId="0" applyBorder="1" applyAlignment="1" applyProtection="1">
      <alignment vertical="top" wrapText="1"/>
    </xf>
    <xf numFmtId="0" fontId="0" fillId="0" borderId="2" xfId="0" applyBorder="1" applyAlignment="1" applyProtection="1">
      <alignment vertical="top" wrapText="1"/>
    </xf>
    <xf numFmtId="0" fontId="0" fillId="0" borderId="3" xfId="0" applyBorder="1" applyAlignment="1" applyProtection="1">
      <alignment vertical="top" wrapText="1"/>
    </xf>
    <xf numFmtId="0" fontId="0" fillId="0" borderId="33" xfId="0" applyBorder="1" applyAlignment="1" applyProtection="1">
      <alignment vertical="top" wrapText="1"/>
    </xf>
    <xf numFmtId="0" fontId="0" fillId="0" borderId="31" xfId="0" applyBorder="1" applyAlignment="1" applyProtection="1">
      <alignment vertical="top" wrapText="1"/>
    </xf>
    <xf numFmtId="0" fontId="0" fillId="0" borderId="32" xfId="0" applyBorder="1" applyAlignment="1" applyProtection="1">
      <alignment vertical="top" wrapText="1"/>
    </xf>
    <xf numFmtId="0" fontId="31" fillId="4" borderId="2" xfId="0" applyFont="1" applyFill="1" applyBorder="1" applyAlignment="1" applyProtection="1">
      <alignment horizontal="center" vertical="center"/>
    </xf>
    <xf numFmtId="0" fontId="4" fillId="4" borderId="1" xfId="0" applyFont="1" applyFill="1" applyBorder="1" applyAlignment="1" applyProtection="1">
      <alignment horizontal="center"/>
    </xf>
    <xf numFmtId="0" fontId="4" fillId="4" borderId="3" xfId="0" applyFont="1" applyFill="1" applyBorder="1" applyAlignment="1" applyProtection="1">
      <alignment horizontal="center"/>
    </xf>
  </cellXfs>
  <cellStyles count="7">
    <cellStyle name="Bad" xfId="4" builtinId="27"/>
    <cellStyle name="Comma" xfId="1" builtinId="3"/>
    <cellStyle name="Good" xfId="3" builtinId="26"/>
    <cellStyle name="Hyperlink" xfId="5" builtinId="8"/>
    <cellStyle name="Input 2" xfId="6"/>
    <cellStyle name="Normal" xfId="0" builtinId="0"/>
    <cellStyle name="Percent" xfId="2" builtinId="5"/>
  </cellStyles>
  <dxfs count="5">
    <dxf>
      <font>
        <b/>
        <i val="0"/>
        <color rgb="FF9C0006"/>
      </font>
      <fill>
        <patternFill patternType="solid">
          <bgColor theme="0"/>
        </patternFill>
      </fill>
    </dxf>
    <dxf>
      <font>
        <b/>
        <i val="0"/>
        <color rgb="FFCC9900"/>
      </font>
      <fill>
        <patternFill patternType="none">
          <bgColor auto="1"/>
        </patternFill>
      </fill>
    </dxf>
    <dxf>
      <font>
        <color auto="1"/>
      </font>
      <fill>
        <patternFill>
          <bgColor rgb="FFC6EFCE"/>
        </patternFill>
      </fill>
    </dxf>
    <dxf>
      <font>
        <b/>
        <i val="0"/>
        <color rgb="FF9C0006"/>
      </font>
      <fill>
        <patternFill patternType="solid">
          <bgColor theme="0"/>
        </patternFill>
      </fill>
    </dxf>
    <dxf>
      <font>
        <b/>
        <i val="0"/>
        <color rgb="FFCC9900"/>
      </font>
      <fill>
        <patternFill patternType="none">
          <bgColor auto="1"/>
        </patternFill>
      </fill>
    </dxf>
  </dxfs>
  <tableStyles count="0" defaultTableStyle="TableStyleMedium2" defaultPivotStyle="PivotStyleLight16"/>
  <colors>
    <mruColors>
      <color rgb="FFC6EFCE"/>
      <color rgb="FF5B6770"/>
      <color rgb="FF00AEC7"/>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Historical</a:t>
            </a:r>
            <a:r>
              <a:rPr lang="en-US" baseline="0"/>
              <a:t> </a:t>
            </a:r>
            <a:r>
              <a:rPr lang="en-US"/>
              <a:t>Storage</a:t>
            </a:r>
          </a:p>
        </c:rich>
      </c:tx>
      <c:layout/>
      <c:overlay val="0"/>
    </c:title>
    <c:autoTitleDeleted val="0"/>
    <c:plotArea>
      <c:layout/>
      <c:areaChart>
        <c:grouping val="standard"/>
        <c:varyColors val="0"/>
        <c:ser>
          <c:idx val="2"/>
          <c:order val="0"/>
          <c:tx>
            <c:strRef>
              <c:f>'Drainage-Fed Reservoir'!$Z$3</c:f>
              <c:strCache>
                <c:ptCount val="1"/>
                <c:pt idx="0">
                  <c:v>Storage (Acre-ft)</c:v>
                </c:pt>
              </c:strCache>
            </c:strRef>
          </c:tx>
          <c:spPr>
            <a:solidFill>
              <a:schemeClr val="accent1"/>
            </a:solidFill>
            <a:ln>
              <a:solidFill>
                <a:schemeClr val="accent1"/>
              </a:solidFill>
            </a:ln>
          </c:spPr>
          <c:cat>
            <c:numRef>
              <c:f>'Drainage-Fed Reservoir'!$W$4:$W$208</c:f>
              <c:numCache>
                <c:formatCode>yyyy</c:formatCode>
                <c:ptCount val="205"/>
                <c:pt idx="0">
                  <c:v>36495</c:v>
                </c:pt>
                <c:pt idx="1">
                  <c:v>36526</c:v>
                </c:pt>
                <c:pt idx="2">
                  <c:v>36557</c:v>
                </c:pt>
                <c:pt idx="3">
                  <c:v>36586</c:v>
                </c:pt>
                <c:pt idx="4">
                  <c:v>36617</c:v>
                </c:pt>
                <c:pt idx="5">
                  <c:v>36647</c:v>
                </c:pt>
                <c:pt idx="6">
                  <c:v>36678</c:v>
                </c:pt>
                <c:pt idx="7">
                  <c:v>36708</c:v>
                </c:pt>
                <c:pt idx="8">
                  <c:v>36739</c:v>
                </c:pt>
                <c:pt idx="9">
                  <c:v>36770</c:v>
                </c:pt>
                <c:pt idx="10">
                  <c:v>36800</c:v>
                </c:pt>
                <c:pt idx="11">
                  <c:v>36831</c:v>
                </c:pt>
                <c:pt idx="12">
                  <c:v>36861</c:v>
                </c:pt>
                <c:pt idx="13">
                  <c:v>36892</c:v>
                </c:pt>
                <c:pt idx="14">
                  <c:v>36923</c:v>
                </c:pt>
                <c:pt idx="15">
                  <c:v>36951</c:v>
                </c:pt>
                <c:pt idx="16">
                  <c:v>36982</c:v>
                </c:pt>
                <c:pt idx="17">
                  <c:v>37012</c:v>
                </c:pt>
                <c:pt idx="18">
                  <c:v>37043</c:v>
                </c:pt>
                <c:pt idx="19">
                  <c:v>37073</c:v>
                </c:pt>
                <c:pt idx="20">
                  <c:v>37104</c:v>
                </c:pt>
                <c:pt idx="21">
                  <c:v>37135</c:v>
                </c:pt>
                <c:pt idx="22">
                  <c:v>37165</c:v>
                </c:pt>
                <c:pt idx="23">
                  <c:v>37196</c:v>
                </c:pt>
                <c:pt idx="24">
                  <c:v>37226</c:v>
                </c:pt>
                <c:pt idx="25">
                  <c:v>37257</c:v>
                </c:pt>
                <c:pt idx="26">
                  <c:v>37288</c:v>
                </c:pt>
                <c:pt idx="27">
                  <c:v>37316</c:v>
                </c:pt>
                <c:pt idx="28">
                  <c:v>37347</c:v>
                </c:pt>
                <c:pt idx="29">
                  <c:v>37377</c:v>
                </c:pt>
                <c:pt idx="30">
                  <c:v>37408</c:v>
                </c:pt>
                <c:pt idx="31">
                  <c:v>37438</c:v>
                </c:pt>
                <c:pt idx="32">
                  <c:v>37469</c:v>
                </c:pt>
                <c:pt idx="33">
                  <c:v>37500</c:v>
                </c:pt>
                <c:pt idx="34">
                  <c:v>37530</c:v>
                </c:pt>
                <c:pt idx="35">
                  <c:v>37561</c:v>
                </c:pt>
                <c:pt idx="36">
                  <c:v>37591</c:v>
                </c:pt>
                <c:pt idx="37">
                  <c:v>37622</c:v>
                </c:pt>
                <c:pt idx="38">
                  <c:v>37653</c:v>
                </c:pt>
                <c:pt idx="39">
                  <c:v>37681</c:v>
                </c:pt>
                <c:pt idx="40">
                  <c:v>37712</c:v>
                </c:pt>
                <c:pt idx="41">
                  <c:v>37742</c:v>
                </c:pt>
                <c:pt idx="42">
                  <c:v>37773</c:v>
                </c:pt>
                <c:pt idx="43">
                  <c:v>37803</c:v>
                </c:pt>
                <c:pt idx="44">
                  <c:v>37834</c:v>
                </c:pt>
                <c:pt idx="45">
                  <c:v>37865</c:v>
                </c:pt>
                <c:pt idx="46">
                  <c:v>37895</c:v>
                </c:pt>
                <c:pt idx="47">
                  <c:v>37926</c:v>
                </c:pt>
                <c:pt idx="48">
                  <c:v>37956</c:v>
                </c:pt>
                <c:pt idx="49">
                  <c:v>37987</c:v>
                </c:pt>
                <c:pt idx="50">
                  <c:v>38018</c:v>
                </c:pt>
                <c:pt idx="51">
                  <c:v>38047</c:v>
                </c:pt>
                <c:pt idx="52">
                  <c:v>38078</c:v>
                </c:pt>
                <c:pt idx="53">
                  <c:v>38108</c:v>
                </c:pt>
                <c:pt idx="54">
                  <c:v>38139</c:v>
                </c:pt>
                <c:pt idx="55">
                  <c:v>38169</c:v>
                </c:pt>
                <c:pt idx="56">
                  <c:v>38200</c:v>
                </c:pt>
                <c:pt idx="57">
                  <c:v>38231</c:v>
                </c:pt>
                <c:pt idx="58">
                  <c:v>38261</c:v>
                </c:pt>
                <c:pt idx="59">
                  <c:v>38292</c:v>
                </c:pt>
                <c:pt idx="60">
                  <c:v>38322</c:v>
                </c:pt>
                <c:pt idx="61">
                  <c:v>38353</c:v>
                </c:pt>
                <c:pt idx="62">
                  <c:v>38384</c:v>
                </c:pt>
                <c:pt idx="63">
                  <c:v>38412</c:v>
                </c:pt>
                <c:pt idx="64">
                  <c:v>38443</c:v>
                </c:pt>
                <c:pt idx="65">
                  <c:v>38473</c:v>
                </c:pt>
                <c:pt idx="66">
                  <c:v>38504</c:v>
                </c:pt>
                <c:pt idx="67">
                  <c:v>38534</c:v>
                </c:pt>
                <c:pt idx="68">
                  <c:v>38565</c:v>
                </c:pt>
                <c:pt idx="69">
                  <c:v>38596</c:v>
                </c:pt>
                <c:pt idx="70">
                  <c:v>38626</c:v>
                </c:pt>
                <c:pt idx="71">
                  <c:v>38657</c:v>
                </c:pt>
                <c:pt idx="72">
                  <c:v>38687</c:v>
                </c:pt>
                <c:pt idx="73">
                  <c:v>38718</c:v>
                </c:pt>
                <c:pt idx="74">
                  <c:v>38749</c:v>
                </c:pt>
                <c:pt idx="75">
                  <c:v>38777</c:v>
                </c:pt>
                <c:pt idx="76">
                  <c:v>38808</c:v>
                </c:pt>
                <c:pt idx="77">
                  <c:v>38838</c:v>
                </c:pt>
                <c:pt idx="78">
                  <c:v>38869</c:v>
                </c:pt>
                <c:pt idx="79">
                  <c:v>38899</c:v>
                </c:pt>
                <c:pt idx="80">
                  <c:v>38930</c:v>
                </c:pt>
                <c:pt idx="81">
                  <c:v>38961</c:v>
                </c:pt>
                <c:pt idx="82">
                  <c:v>38991</c:v>
                </c:pt>
                <c:pt idx="83">
                  <c:v>39022</c:v>
                </c:pt>
                <c:pt idx="84">
                  <c:v>39052</c:v>
                </c:pt>
                <c:pt idx="85">
                  <c:v>39083</c:v>
                </c:pt>
                <c:pt idx="86">
                  <c:v>39114</c:v>
                </c:pt>
                <c:pt idx="87">
                  <c:v>39142</c:v>
                </c:pt>
                <c:pt idx="88">
                  <c:v>39173</c:v>
                </c:pt>
                <c:pt idx="89">
                  <c:v>39203</c:v>
                </c:pt>
                <c:pt idx="90">
                  <c:v>39234</c:v>
                </c:pt>
                <c:pt idx="91">
                  <c:v>39264</c:v>
                </c:pt>
                <c:pt idx="92">
                  <c:v>39295</c:v>
                </c:pt>
                <c:pt idx="93">
                  <c:v>39326</c:v>
                </c:pt>
                <c:pt idx="94">
                  <c:v>39356</c:v>
                </c:pt>
                <c:pt idx="95">
                  <c:v>39387</c:v>
                </c:pt>
                <c:pt idx="96">
                  <c:v>39417</c:v>
                </c:pt>
                <c:pt idx="97">
                  <c:v>39448</c:v>
                </c:pt>
                <c:pt idx="98">
                  <c:v>39479</c:v>
                </c:pt>
                <c:pt idx="99">
                  <c:v>39508</c:v>
                </c:pt>
                <c:pt idx="100">
                  <c:v>39539</c:v>
                </c:pt>
                <c:pt idx="101">
                  <c:v>39569</c:v>
                </c:pt>
                <c:pt idx="102">
                  <c:v>39600</c:v>
                </c:pt>
                <c:pt idx="103">
                  <c:v>39630</c:v>
                </c:pt>
                <c:pt idx="104">
                  <c:v>39661</c:v>
                </c:pt>
                <c:pt idx="105">
                  <c:v>39692</c:v>
                </c:pt>
                <c:pt idx="106">
                  <c:v>39722</c:v>
                </c:pt>
                <c:pt idx="107">
                  <c:v>39753</c:v>
                </c:pt>
                <c:pt idx="108">
                  <c:v>39783</c:v>
                </c:pt>
                <c:pt idx="109">
                  <c:v>39814</c:v>
                </c:pt>
                <c:pt idx="110">
                  <c:v>39845</c:v>
                </c:pt>
                <c:pt idx="111">
                  <c:v>39873</c:v>
                </c:pt>
                <c:pt idx="112">
                  <c:v>39904</c:v>
                </c:pt>
                <c:pt idx="113">
                  <c:v>39934</c:v>
                </c:pt>
                <c:pt idx="114">
                  <c:v>39965</c:v>
                </c:pt>
                <c:pt idx="115">
                  <c:v>39995</c:v>
                </c:pt>
                <c:pt idx="116">
                  <c:v>40026</c:v>
                </c:pt>
                <c:pt idx="117">
                  <c:v>40057</c:v>
                </c:pt>
                <c:pt idx="118">
                  <c:v>40087</c:v>
                </c:pt>
                <c:pt idx="119">
                  <c:v>40118</c:v>
                </c:pt>
                <c:pt idx="120">
                  <c:v>40148</c:v>
                </c:pt>
                <c:pt idx="121">
                  <c:v>40179</c:v>
                </c:pt>
                <c:pt idx="122">
                  <c:v>40210</c:v>
                </c:pt>
                <c:pt idx="123">
                  <c:v>40238</c:v>
                </c:pt>
                <c:pt idx="124">
                  <c:v>40269</c:v>
                </c:pt>
                <c:pt idx="125">
                  <c:v>40299</c:v>
                </c:pt>
                <c:pt idx="126">
                  <c:v>40330</c:v>
                </c:pt>
                <c:pt idx="127">
                  <c:v>40360</c:v>
                </c:pt>
                <c:pt idx="128">
                  <c:v>40391</c:v>
                </c:pt>
                <c:pt idx="129">
                  <c:v>40422</c:v>
                </c:pt>
                <c:pt idx="130">
                  <c:v>40452</c:v>
                </c:pt>
                <c:pt idx="131">
                  <c:v>40483</c:v>
                </c:pt>
                <c:pt idx="132">
                  <c:v>40513</c:v>
                </c:pt>
                <c:pt idx="133">
                  <c:v>40544</c:v>
                </c:pt>
                <c:pt idx="134">
                  <c:v>40575</c:v>
                </c:pt>
                <c:pt idx="135">
                  <c:v>40603</c:v>
                </c:pt>
                <c:pt idx="136">
                  <c:v>40634</c:v>
                </c:pt>
                <c:pt idx="137">
                  <c:v>40664</c:v>
                </c:pt>
                <c:pt idx="138">
                  <c:v>40695</c:v>
                </c:pt>
                <c:pt idx="139">
                  <c:v>40725</c:v>
                </c:pt>
                <c:pt idx="140">
                  <c:v>40756</c:v>
                </c:pt>
                <c:pt idx="141">
                  <c:v>40787</c:v>
                </c:pt>
                <c:pt idx="142">
                  <c:v>40817</c:v>
                </c:pt>
                <c:pt idx="143">
                  <c:v>40848</c:v>
                </c:pt>
                <c:pt idx="144">
                  <c:v>40878</c:v>
                </c:pt>
                <c:pt idx="145">
                  <c:v>40909</c:v>
                </c:pt>
                <c:pt idx="146">
                  <c:v>40940</c:v>
                </c:pt>
                <c:pt idx="147">
                  <c:v>40969</c:v>
                </c:pt>
                <c:pt idx="148">
                  <c:v>41000</c:v>
                </c:pt>
                <c:pt idx="149">
                  <c:v>41030</c:v>
                </c:pt>
                <c:pt idx="150">
                  <c:v>41061</c:v>
                </c:pt>
                <c:pt idx="151">
                  <c:v>41091</c:v>
                </c:pt>
                <c:pt idx="152">
                  <c:v>41122</c:v>
                </c:pt>
                <c:pt idx="153">
                  <c:v>41153</c:v>
                </c:pt>
                <c:pt idx="154">
                  <c:v>41183</c:v>
                </c:pt>
                <c:pt idx="155">
                  <c:v>41214</c:v>
                </c:pt>
                <c:pt idx="156">
                  <c:v>41244</c:v>
                </c:pt>
                <c:pt idx="157">
                  <c:v>41275</c:v>
                </c:pt>
                <c:pt idx="158">
                  <c:v>41306</c:v>
                </c:pt>
                <c:pt idx="159">
                  <c:v>41334</c:v>
                </c:pt>
                <c:pt idx="160">
                  <c:v>41365</c:v>
                </c:pt>
                <c:pt idx="161">
                  <c:v>41395</c:v>
                </c:pt>
                <c:pt idx="162">
                  <c:v>41426</c:v>
                </c:pt>
                <c:pt idx="163">
                  <c:v>41456</c:v>
                </c:pt>
                <c:pt idx="164">
                  <c:v>41487</c:v>
                </c:pt>
                <c:pt idx="165">
                  <c:v>41518</c:v>
                </c:pt>
                <c:pt idx="166">
                  <c:v>41548</c:v>
                </c:pt>
                <c:pt idx="167">
                  <c:v>41579</c:v>
                </c:pt>
                <c:pt idx="168">
                  <c:v>41609</c:v>
                </c:pt>
                <c:pt idx="169">
                  <c:v>41640</c:v>
                </c:pt>
                <c:pt idx="170">
                  <c:v>41671</c:v>
                </c:pt>
                <c:pt idx="171">
                  <c:v>41699</c:v>
                </c:pt>
                <c:pt idx="172">
                  <c:v>41730</c:v>
                </c:pt>
                <c:pt idx="173">
                  <c:v>41760</c:v>
                </c:pt>
                <c:pt idx="174">
                  <c:v>41791</c:v>
                </c:pt>
                <c:pt idx="175">
                  <c:v>41821</c:v>
                </c:pt>
                <c:pt idx="176">
                  <c:v>41852</c:v>
                </c:pt>
                <c:pt idx="177">
                  <c:v>41883</c:v>
                </c:pt>
                <c:pt idx="178">
                  <c:v>41913</c:v>
                </c:pt>
                <c:pt idx="179">
                  <c:v>41944</c:v>
                </c:pt>
                <c:pt idx="180">
                  <c:v>41974</c:v>
                </c:pt>
                <c:pt idx="181">
                  <c:v>42005</c:v>
                </c:pt>
                <c:pt idx="182">
                  <c:v>42036</c:v>
                </c:pt>
                <c:pt idx="183">
                  <c:v>42064</c:v>
                </c:pt>
                <c:pt idx="184">
                  <c:v>42095</c:v>
                </c:pt>
                <c:pt idx="185">
                  <c:v>42125</c:v>
                </c:pt>
                <c:pt idx="186">
                  <c:v>42156</c:v>
                </c:pt>
                <c:pt idx="187">
                  <c:v>42186</c:v>
                </c:pt>
                <c:pt idx="188">
                  <c:v>42217</c:v>
                </c:pt>
                <c:pt idx="189">
                  <c:v>42248</c:v>
                </c:pt>
                <c:pt idx="190">
                  <c:v>42278</c:v>
                </c:pt>
                <c:pt idx="191">
                  <c:v>42309</c:v>
                </c:pt>
                <c:pt idx="192">
                  <c:v>42339</c:v>
                </c:pt>
                <c:pt idx="193">
                  <c:v>42370</c:v>
                </c:pt>
                <c:pt idx="194">
                  <c:v>42401</c:v>
                </c:pt>
                <c:pt idx="195">
                  <c:v>42430</c:v>
                </c:pt>
                <c:pt idx="196">
                  <c:v>42461</c:v>
                </c:pt>
                <c:pt idx="197">
                  <c:v>42491</c:v>
                </c:pt>
                <c:pt idx="198">
                  <c:v>42522</c:v>
                </c:pt>
                <c:pt idx="199">
                  <c:v>42552</c:v>
                </c:pt>
                <c:pt idx="200">
                  <c:v>42583</c:v>
                </c:pt>
                <c:pt idx="201">
                  <c:v>42614</c:v>
                </c:pt>
                <c:pt idx="202">
                  <c:v>42644</c:v>
                </c:pt>
                <c:pt idx="203">
                  <c:v>42675</c:v>
                </c:pt>
                <c:pt idx="204">
                  <c:v>42705</c:v>
                </c:pt>
              </c:numCache>
            </c:numRef>
          </c:cat>
          <c:val>
            <c:numRef>
              <c:f>'Drainage-Fed Reservoir'!$Z$4:$Z$209</c:f>
              <c:numCache>
                <c:formatCode>_(* #,##0_);_(* \(#,##0\);_(* "-"??_);_(@_)</c:formatCode>
                <c:ptCount val="206"/>
                <c:pt idx="0">
                  <c:v>77212.750074649157</c:v>
                </c:pt>
                <c:pt idx="1">
                  <c:v>78120.981387478852</c:v>
                </c:pt>
                <c:pt idx="2">
                  <c:v>89156.837862048371</c:v>
                </c:pt>
                <c:pt idx="3">
                  <c:v>95100</c:v>
                </c:pt>
                <c:pt idx="4">
                  <c:v>100000</c:v>
                </c:pt>
                <c:pt idx="5">
                  <c:v>96667.263859858664</c:v>
                </c:pt>
                <c:pt idx="6">
                  <c:v>90088.434358514976</c:v>
                </c:pt>
                <c:pt idx="7">
                  <c:v>86373.569224644161</c:v>
                </c:pt>
                <c:pt idx="8">
                  <c:v>81771.225241365581</c:v>
                </c:pt>
                <c:pt idx="9">
                  <c:v>56120.558375634522</c:v>
                </c:pt>
                <c:pt idx="10">
                  <c:v>58487.458942968049</c:v>
                </c:pt>
                <c:pt idx="11">
                  <c:v>62200.582263362194</c:v>
                </c:pt>
                <c:pt idx="12">
                  <c:v>65192.843634915895</c:v>
                </c:pt>
                <c:pt idx="13">
                  <c:v>74499.303274609323</c:v>
                </c:pt>
                <c:pt idx="14">
                  <c:v>93364.412262366881</c:v>
                </c:pt>
                <c:pt idx="15">
                  <c:v>100000</c:v>
                </c:pt>
                <c:pt idx="16">
                  <c:v>100000</c:v>
                </c:pt>
                <c:pt idx="17">
                  <c:v>92894.943764307754</c:v>
                </c:pt>
                <c:pt idx="18">
                  <c:v>90554.817358415443</c:v>
                </c:pt>
                <c:pt idx="19">
                  <c:v>85449.786005772869</c:v>
                </c:pt>
                <c:pt idx="20">
                  <c:v>78120.981387478852</c:v>
                </c:pt>
                <c:pt idx="21">
                  <c:v>79030.979396834882</c:v>
                </c:pt>
                <c:pt idx="22">
                  <c:v>78575.89330148304</c:v>
                </c:pt>
                <c:pt idx="23">
                  <c:v>77212.750074649157</c:v>
                </c:pt>
                <c:pt idx="24">
                  <c:v>85911.466109286353</c:v>
                </c:pt>
                <c:pt idx="25">
                  <c:v>90554.817358415443</c:v>
                </c:pt>
                <c:pt idx="26">
                  <c:v>100000</c:v>
                </c:pt>
                <c:pt idx="27">
                  <c:v>99000</c:v>
                </c:pt>
                <c:pt idx="28">
                  <c:v>100000</c:v>
                </c:pt>
                <c:pt idx="29">
                  <c:v>98091.669154971634</c:v>
                </c:pt>
                <c:pt idx="30">
                  <c:v>100000</c:v>
                </c:pt>
                <c:pt idx="31">
                  <c:v>96667.263859858664</c:v>
                </c:pt>
                <c:pt idx="32">
                  <c:v>88810</c:v>
                </c:pt>
                <c:pt idx="33">
                  <c:v>85449.786005772869</c:v>
                </c:pt>
                <c:pt idx="34">
                  <c:v>86373.569224644161</c:v>
                </c:pt>
                <c:pt idx="35">
                  <c:v>86373.569224644161</c:v>
                </c:pt>
                <c:pt idx="36">
                  <c:v>99044.640191101818</c:v>
                </c:pt>
                <c:pt idx="37">
                  <c:v>93834.701901064996</c:v>
                </c:pt>
                <c:pt idx="38">
                  <c:v>95720.662884443125</c:v>
                </c:pt>
                <c:pt idx="39">
                  <c:v>97141.634318702098</c:v>
                </c:pt>
                <c:pt idx="40">
                  <c:v>100000</c:v>
                </c:pt>
                <c:pt idx="41">
                  <c:v>92425.997810291636</c:v>
                </c:pt>
                <c:pt idx="42">
                  <c:v>100000</c:v>
                </c:pt>
                <c:pt idx="43">
                  <c:v>97141.634318702098</c:v>
                </c:pt>
                <c:pt idx="44">
                  <c:v>84100</c:v>
                </c:pt>
                <c:pt idx="45">
                  <c:v>76306.584054941777</c:v>
                </c:pt>
                <c:pt idx="46">
                  <c:v>79030.979396834882</c:v>
                </c:pt>
                <c:pt idx="47">
                  <c:v>84527.520652931227</c:v>
                </c:pt>
                <c:pt idx="48">
                  <c:v>81313.501542749073</c:v>
                </c:pt>
                <c:pt idx="49">
                  <c:v>89156.837862048371</c:v>
                </c:pt>
                <c:pt idx="50">
                  <c:v>92425.997810291636</c:v>
                </c:pt>
                <c:pt idx="51">
                  <c:v>97100</c:v>
                </c:pt>
                <c:pt idx="52">
                  <c:v>96667.263859858664</c:v>
                </c:pt>
                <c:pt idx="53">
                  <c:v>100000</c:v>
                </c:pt>
                <c:pt idx="54">
                  <c:v>100000</c:v>
                </c:pt>
                <c:pt idx="55">
                  <c:v>93834.701901064996</c:v>
                </c:pt>
                <c:pt idx="56">
                  <c:v>99044.640191101818</c:v>
                </c:pt>
                <c:pt idx="57">
                  <c:v>96193.814073852904</c:v>
                </c:pt>
                <c:pt idx="58">
                  <c:v>89156.837862048371</c:v>
                </c:pt>
                <c:pt idx="59">
                  <c:v>99044.640191101818</c:v>
                </c:pt>
                <c:pt idx="60">
                  <c:v>100000</c:v>
                </c:pt>
                <c:pt idx="61">
                  <c:v>98567.955608639386</c:v>
                </c:pt>
                <c:pt idx="62">
                  <c:v>97141.634318702098</c:v>
                </c:pt>
                <c:pt idx="63">
                  <c:v>100000</c:v>
                </c:pt>
                <c:pt idx="64">
                  <c:v>94776.699512292224</c:v>
                </c:pt>
                <c:pt idx="65">
                  <c:v>94776.699512292224</c:v>
                </c:pt>
                <c:pt idx="66">
                  <c:v>92894.943764307754</c:v>
                </c:pt>
                <c:pt idx="67">
                  <c:v>88691.649248531903</c:v>
                </c:pt>
                <c:pt idx="68">
                  <c:v>79030.979396834882</c:v>
                </c:pt>
                <c:pt idx="69">
                  <c:v>71356.847815268236</c:v>
                </c:pt>
                <c:pt idx="70">
                  <c:v>66100</c:v>
                </c:pt>
                <c:pt idx="71">
                  <c:v>60112.123021797546</c:v>
                </c:pt>
                <c:pt idx="72">
                  <c:v>53449.586941375535</c:v>
                </c:pt>
                <c:pt idx="73">
                  <c:v>58487.458942968049</c:v>
                </c:pt>
                <c:pt idx="74">
                  <c:v>71804.120633024781</c:v>
                </c:pt>
                <c:pt idx="75">
                  <c:v>87100</c:v>
                </c:pt>
                <c:pt idx="76">
                  <c:v>97616.328257191213</c:v>
                </c:pt>
                <c:pt idx="77">
                  <c:v>91021.698019309246</c:v>
                </c:pt>
                <c:pt idx="78">
                  <c:v>88227.207126505426</c:v>
                </c:pt>
                <c:pt idx="79">
                  <c:v>84066.885637503743</c:v>
                </c:pt>
                <c:pt idx="80">
                  <c:v>72100</c:v>
                </c:pt>
                <c:pt idx="81">
                  <c:v>63473.897680899769</c:v>
                </c:pt>
                <c:pt idx="82">
                  <c:v>62623.27062804818</c:v>
                </c:pt>
                <c:pt idx="83">
                  <c:v>80856.250622076244</c:v>
                </c:pt>
                <c:pt idx="84">
                  <c:v>85449.786005772869</c:v>
                </c:pt>
                <c:pt idx="85">
                  <c:v>100000</c:v>
                </c:pt>
                <c:pt idx="86">
                  <c:v>92894.943764307754</c:v>
                </c:pt>
                <c:pt idx="87">
                  <c:v>97616.328257191213</c:v>
                </c:pt>
                <c:pt idx="88">
                  <c:v>98567.955608639386</c:v>
                </c:pt>
                <c:pt idx="89">
                  <c:v>97141.634318702098</c:v>
                </c:pt>
                <c:pt idx="90">
                  <c:v>100000</c:v>
                </c:pt>
                <c:pt idx="91">
                  <c:v>100000</c:v>
                </c:pt>
                <c:pt idx="92">
                  <c:v>100000</c:v>
                </c:pt>
                <c:pt idx="93">
                  <c:v>98091.669154971634</c:v>
                </c:pt>
                <c:pt idx="94">
                  <c:v>93100</c:v>
                </c:pt>
                <c:pt idx="95">
                  <c:v>89156.837862048371</c:v>
                </c:pt>
                <c:pt idx="96">
                  <c:v>92894.943764307754</c:v>
                </c:pt>
                <c:pt idx="97">
                  <c:v>83606.997113566249</c:v>
                </c:pt>
                <c:pt idx="98">
                  <c:v>82688.215387677905</c:v>
                </c:pt>
                <c:pt idx="99">
                  <c:v>98567.955608639386</c:v>
                </c:pt>
                <c:pt idx="100">
                  <c:v>99044.640191101818</c:v>
                </c:pt>
                <c:pt idx="101">
                  <c:v>98091.669154971634</c:v>
                </c:pt>
                <c:pt idx="102">
                  <c:v>91957.300686772185</c:v>
                </c:pt>
                <c:pt idx="103">
                  <c:v>87763.237782422628</c:v>
                </c:pt>
                <c:pt idx="104">
                  <c:v>79200</c:v>
                </c:pt>
                <c:pt idx="105">
                  <c:v>75853.936498457246</c:v>
                </c:pt>
                <c:pt idx="106">
                  <c:v>63047.924753657811</c:v>
                </c:pt>
                <c:pt idx="107">
                  <c:v>62623.27062804818</c:v>
                </c:pt>
                <c:pt idx="108">
                  <c:v>67808.524932815766</c:v>
                </c:pt>
                <c:pt idx="109">
                  <c:v>70019.881556683584</c:v>
                </c:pt>
                <c:pt idx="110">
                  <c:v>61360.032845625559</c:v>
                </c:pt>
                <c:pt idx="111">
                  <c:v>73598.611525828601</c:v>
                </c:pt>
                <c:pt idx="112">
                  <c:v>84100</c:v>
                </c:pt>
                <c:pt idx="113">
                  <c:v>96000</c:v>
                </c:pt>
                <c:pt idx="114">
                  <c:v>100000</c:v>
                </c:pt>
                <c:pt idx="115">
                  <c:v>88227.207126505426</c:v>
                </c:pt>
                <c:pt idx="116">
                  <c:v>83100</c:v>
                </c:pt>
                <c:pt idx="117">
                  <c:v>91957.300686772185</c:v>
                </c:pt>
                <c:pt idx="118">
                  <c:v>100000</c:v>
                </c:pt>
                <c:pt idx="119">
                  <c:v>96667.263859858664</c:v>
                </c:pt>
                <c:pt idx="120">
                  <c:v>96193.814073852904</c:v>
                </c:pt>
                <c:pt idx="121">
                  <c:v>92894.943764307754</c:v>
                </c:pt>
                <c:pt idx="122">
                  <c:v>97616.328257191213</c:v>
                </c:pt>
                <c:pt idx="123">
                  <c:v>97141.634318702098</c:v>
                </c:pt>
                <c:pt idx="124">
                  <c:v>100000</c:v>
                </c:pt>
                <c:pt idx="125">
                  <c:v>100000</c:v>
                </c:pt>
                <c:pt idx="126">
                  <c:v>94776.699512292224</c:v>
                </c:pt>
                <c:pt idx="127">
                  <c:v>100000</c:v>
                </c:pt>
                <c:pt idx="128">
                  <c:v>89100</c:v>
                </c:pt>
                <c:pt idx="129">
                  <c:v>97141.634318702098</c:v>
                </c:pt>
                <c:pt idx="130">
                  <c:v>97141.634318702098</c:v>
                </c:pt>
                <c:pt idx="131">
                  <c:v>91021.698019309246</c:v>
                </c:pt>
                <c:pt idx="132">
                  <c:v>86373.569224644161</c:v>
                </c:pt>
                <c:pt idx="133">
                  <c:v>97141.634318702098</c:v>
                </c:pt>
                <c:pt idx="134">
                  <c:v>99044.640191101818</c:v>
                </c:pt>
                <c:pt idx="135">
                  <c:v>91489.374937792381</c:v>
                </c:pt>
                <c:pt idx="136">
                  <c:v>86373.569224644161</c:v>
                </c:pt>
                <c:pt idx="137">
                  <c:v>97141.634318702098</c:v>
                </c:pt>
                <c:pt idx="138">
                  <c:v>91021.698019309246</c:v>
                </c:pt>
                <c:pt idx="139">
                  <c:v>75853.936498457246</c:v>
                </c:pt>
                <c:pt idx="140">
                  <c:v>64330.621080919671</c:v>
                </c:pt>
                <c:pt idx="141">
                  <c:v>56901.413357221063</c:v>
                </c:pt>
                <c:pt idx="142">
                  <c:v>60112.123021797546</c:v>
                </c:pt>
                <c:pt idx="143">
                  <c:v>62623.27062804818</c:v>
                </c:pt>
                <c:pt idx="144">
                  <c:v>69132.402707275804</c:v>
                </c:pt>
                <c:pt idx="145">
                  <c:v>77666.766198865327</c:v>
                </c:pt>
                <c:pt idx="146">
                  <c:v>80856.250622076244</c:v>
                </c:pt>
                <c:pt idx="147">
                  <c:v>81313.501542749073</c:v>
                </c:pt>
                <c:pt idx="148">
                  <c:v>84988.304966656709</c:v>
                </c:pt>
                <c:pt idx="149">
                  <c:v>79030.979396834882</c:v>
                </c:pt>
                <c:pt idx="150">
                  <c:v>78575.89330148304</c:v>
                </c:pt>
                <c:pt idx="151">
                  <c:v>75401.985667363391</c:v>
                </c:pt>
                <c:pt idx="152">
                  <c:v>68690.156265551908</c:v>
                </c:pt>
                <c:pt idx="153">
                  <c:v>70910.570319498351</c:v>
                </c:pt>
                <c:pt idx="154">
                  <c:v>71804.120633024781</c:v>
                </c:pt>
                <c:pt idx="155">
                  <c:v>70910.570319498351</c:v>
                </c:pt>
                <c:pt idx="156">
                  <c:v>65192.843634915895</c:v>
                </c:pt>
                <c:pt idx="157">
                  <c:v>70910.570319498351</c:v>
                </c:pt>
                <c:pt idx="158">
                  <c:v>77666.766198865327</c:v>
                </c:pt>
                <c:pt idx="159">
                  <c:v>72700.034836269537</c:v>
                </c:pt>
                <c:pt idx="160">
                  <c:v>86836.418831491988</c:v>
                </c:pt>
                <c:pt idx="161">
                  <c:v>97141.634318702098</c:v>
                </c:pt>
                <c:pt idx="162">
                  <c:v>100000</c:v>
                </c:pt>
                <c:pt idx="163">
                  <c:v>88227.207126505426</c:v>
                </c:pt>
                <c:pt idx="164">
                  <c:v>72700.034836269537</c:v>
                </c:pt>
                <c:pt idx="165">
                  <c:v>66495.073156166021</c:v>
                </c:pt>
                <c:pt idx="166">
                  <c:v>78120.981387478852</c:v>
                </c:pt>
                <c:pt idx="167">
                  <c:v>76759.430675823634</c:v>
                </c:pt>
                <c:pt idx="168">
                  <c:v>73149.173882751056</c:v>
                </c:pt>
                <c:pt idx="169">
                  <c:v>69132.402707275804</c:v>
                </c:pt>
                <c:pt idx="170">
                  <c:v>72251.766696526334</c:v>
                </c:pt>
                <c:pt idx="171">
                  <c:v>84988.304966656709</c:v>
                </c:pt>
                <c:pt idx="172">
                  <c:v>84066.885637503743</c:v>
                </c:pt>
                <c:pt idx="173">
                  <c:v>98567.955608639386</c:v>
                </c:pt>
                <c:pt idx="174">
                  <c:v>100000</c:v>
                </c:pt>
                <c:pt idx="175">
                  <c:v>94305.265253309452</c:v>
                </c:pt>
                <c:pt idx="176">
                  <c:v>79486.513387080733</c:v>
                </c:pt>
                <c:pt idx="177">
                  <c:v>74048.845426495463</c:v>
                </c:pt>
                <c:pt idx="178">
                  <c:v>62200.582263362194</c:v>
                </c:pt>
                <c:pt idx="179">
                  <c:v>59293.296506419822</c:v>
                </c:pt>
                <c:pt idx="180">
                  <c:v>51592.888424405304</c:v>
                </c:pt>
                <c:pt idx="181">
                  <c:v>67808.524932815766</c:v>
                </c:pt>
                <c:pt idx="182">
                  <c:v>78120.981387478852</c:v>
                </c:pt>
                <c:pt idx="183">
                  <c:v>79030.979396834882</c:v>
                </c:pt>
                <c:pt idx="184">
                  <c:v>85911.466109286353</c:v>
                </c:pt>
                <c:pt idx="185">
                  <c:v>96193.814073852904</c:v>
                </c:pt>
                <c:pt idx="186">
                  <c:v>100000</c:v>
                </c:pt>
                <c:pt idx="187">
                  <c:v>100000</c:v>
                </c:pt>
                <c:pt idx="188">
                  <c:v>94776.699512292224</c:v>
                </c:pt>
                <c:pt idx="189">
                  <c:v>79942.744102717217</c:v>
                </c:pt>
                <c:pt idx="190">
                  <c:v>77212.750074649157</c:v>
                </c:pt>
                <c:pt idx="191">
                  <c:v>100000</c:v>
                </c:pt>
                <c:pt idx="192">
                  <c:v>100000</c:v>
                </c:pt>
                <c:pt idx="193">
                  <c:v>99522.34497860058</c:v>
                </c:pt>
                <c:pt idx="194">
                  <c:v>97141.634318702098</c:v>
                </c:pt>
                <c:pt idx="195">
                  <c:v>#N/A</c:v>
                </c:pt>
                <c:pt idx="196">
                  <c:v>#N/A</c:v>
                </c:pt>
                <c:pt idx="197">
                  <c:v>#N/A</c:v>
                </c:pt>
                <c:pt idx="198">
                  <c:v>#N/A</c:v>
                </c:pt>
                <c:pt idx="199">
                  <c:v>#N/A</c:v>
                </c:pt>
                <c:pt idx="200">
                  <c:v>#N/A</c:v>
                </c:pt>
                <c:pt idx="201">
                  <c:v>#N/A</c:v>
                </c:pt>
                <c:pt idx="202">
                  <c:v>#N/A</c:v>
                </c:pt>
                <c:pt idx="203">
                  <c:v>#N/A</c:v>
                </c:pt>
                <c:pt idx="204">
                  <c:v>#N/A</c:v>
                </c:pt>
              </c:numCache>
            </c:numRef>
          </c:val>
        </c:ser>
        <c:dLbls>
          <c:showLegendKey val="0"/>
          <c:showVal val="0"/>
          <c:showCatName val="0"/>
          <c:showSerName val="0"/>
          <c:showPercent val="0"/>
          <c:showBubbleSize val="0"/>
        </c:dLbls>
        <c:axId val="201414848"/>
        <c:axId val="289412472"/>
      </c:areaChart>
      <c:dateAx>
        <c:axId val="201414848"/>
        <c:scaling>
          <c:orientation val="minMax"/>
        </c:scaling>
        <c:delete val="0"/>
        <c:axPos val="b"/>
        <c:numFmt formatCode="m/d/yyyy" sourceLinked="0"/>
        <c:majorTickMark val="out"/>
        <c:minorTickMark val="none"/>
        <c:tickLblPos val="nextTo"/>
        <c:crossAx val="289412472"/>
        <c:crosses val="autoZero"/>
        <c:auto val="1"/>
        <c:lblOffset val="100"/>
        <c:baseTimeUnit val="months"/>
      </c:dateAx>
      <c:valAx>
        <c:axId val="289412472"/>
        <c:scaling>
          <c:orientation val="minMax"/>
        </c:scaling>
        <c:delete val="0"/>
        <c:axPos val="l"/>
        <c:majorGridlines/>
        <c:title>
          <c:tx>
            <c:rich>
              <a:bodyPr rot="-5400000" vert="horz"/>
              <a:lstStyle/>
              <a:p>
                <a:pPr>
                  <a:defRPr/>
                </a:pPr>
                <a:r>
                  <a:rPr lang="en-US"/>
                  <a:t>Acre-feet</a:t>
                </a:r>
              </a:p>
            </c:rich>
          </c:tx>
          <c:layout/>
          <c:overlay val="0"/>
        </c:title>
        <c:numFmt formatCode="#,##0" sourceLinked="0"/>
        <c:majorTickMark val="out"/>
        <c:minorTickMark val="none"/>
        <c:tickLblPos val="nextTo"/>
        <c:crossAx val="201414848"/>
        <c:crosses val="autoZero"/>
        <c:crossBetween val="midCat"/>
      </c:valAx>
    </c:plotArea>
    <c:plotVisOnly val="1"/>
    <c:dispBlanksAs val="gap"/>
    <c:showDLblsOverMax val="0"/>
  </c:chart>
  <c:spPr>
    <a:ln w="6350">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Reservoir Storage </a:t>
            </a:r>
            <a:r>
              <a:rPr lang="en-US" baseline="0"/>
              <a:t>Prediction</a:t>
            </a:r>
            <a:endParaRPr lang="en-US"/>
          </a:p>
        </c:rich>
      </c:tx>
      <c:layout/>
      <c:overlay val="0"/>
    </c:title>
    <c:autoTitleDeleted val="0"/>
    <c:plotArea>
      <c:layout>
        <c:manualLayout>
          <c:layoutTarget val="inner"/>
          <c:xMode val="edge"/>
          <c:yMode val="edge"/>
          <c:x val="8.2318880169994196E-2"/>
          <c:y val="5.4177620651046046E-2"/>
          <c:w val="0.73246425520624003"/>
          <c:h val="0.81680704359443335"/>
        </c:manualLayout>
      </c:layout>
      <c:lineChart>
        <c:grouping val="standard"/>
        <c:varyColors val="0"/>
        <c:ser>
          <c:idx val="0"/>
          <c:order val="0"/>
          <c:tx>
            <c:strRef>
              <c:f>'Drainage-Fed Reservoir'!$AF$4</c:f>
              <c:strCache>
                <c:ptCount val="1"/>
                <c:pt idx="0">
                  <c:v>Average</c:v>
                </c:pt>
              </c:strCache>
            </c:strRef>
          </c:tx>
          <c:spPr>
            <a:ln>
              <a:solidFill>
                <a:schemeClr val="accent6"/>
              </a:solidFill>
            </a:ln>
          </c:spPr>
          <c:marker>
            <c:symbol val="none"/>
          </c:marker>
          <c:cat>
            <c:numRef>
              <c:f>'Drainage-Fed Reservoir'!$AC$5:$AC$29</c:f>
              <c:numCache>
                <c:formatCode>m/d/yyyy</c:formatCode>
                <c:ptCount val="25"/>
                <c:pt idx="0">
                  <c:v>42339</c:v>
                </c:pt>
                <c:pt idx="1">
                  <c:v>42370</c:v>
                </c:pt>
                <c:pt idx="2">
                  <c:v>42401</c:v>
                </c:pt>
                <c:pt idx="3">
                  <c:v>42430</c:v>
                </c:pt>
                <c:pt idx="4">
                  <c:v>42461</c:v>
                </c:pt>
                <c:pt idx="5">
                  <c:v>42491</c:v>
                </c:pt>
                <c:pt idx="6">
                  <c:v>42522</c:v>
                </c:pt>
                <c:pt idx="7">
                  <c:v>42552</c:v>
                </c:pt>
                <c:pt idx="8">
                  <c:v>42583</c:v>
                </c:pt>
                <c:pt idx="9">
                  <c:v>42614</c:v>
                </c:pt>
                <c:pt idx="10">
                  <c:v>42644</c:v>
                </c:pt>
                <c:pt idx="11">
                  <c:v>42675</c:v>
                </c:pt>
                <c:pt idx="12">
                  <c:v>42705</c:v>
                </c:pt>
                <c:pt idx="13">
                  <c:v>42736</c:v>
                </c:pt>
                <c:pt idx="14">
                  <c:v>42767</c:v>
                </c:pt>
                <c:pt idx="15">
                  <c:v>42795</c:v>
                </c:pt>
                <c:pt idx="16">
                  <c:v>42826</c:v>
                </c:pt>
                <c:pt idx="17">
                  <c:v>42856</c:v>
                </c:pt>
                <c:pt idx="18">
                  <c:v>42887</c:v>
                </c:pt>
                <c:pt idx="19">
                  <c:v>42917</c:v>
                </c:pt>
                <c:pt idx="20">
                  <c:v>42948</c:v>
                </c:pt>
                <c:pt idx="21">
                  <c:v>42979</c:v>
                </c:pt>
                <c:pt idx="22">
                  <c:v>43009</c:v>
                </c:pt>
                <c:pt idx="23">
                  <c:v>43040</c:v>
                </c:pt>
                <c:pt idx="24">
                  <c:v>43070</c:v>
                </c:pt>
              </c:numCache>
            </c:numRef>
          </c:cat>
          <c:val>
            <c:numRef>
              <c:f>'Drainage-Fed Reservoir'!$AF$5:$AF$29</c:f>
              <c:numCache>
                <c:formatCode>#,##0</c:formatCode>
                <c:ptCount val="25"/>
                <c:pt idx="0">
                  <c:v>100000</c:v>
                </c:pt>
                <c:pt idx="1">
                  <c:v>99522.34497860058</c:v>
                </c:pt>
                <c:pt idx="2">
                  <c:v>97141.634318702098</c:v>
                </c:pt>
                <c:pt idx="3">
                  <c:v>101732.6190239209</c:v>
                </c:pt>
                <c:pt idx="4">
                  <c:v>104411.33140904416</c:v>
                </c:pt>
                <c:pt idx="5">
                  <c:v>105475.04561892439</c:v>
                </c:pt>
                <c:pt idx="6">
                  <c:v>104748.59327825885</c:v>
                </c:pt>
                <c:pt idx="7">
                  <c:v>99675.748979794967</c:v>
                </c:pt>
                <c:pt idx="8">
                  <c:v>91514.470455525705</c:v>
                </c:pt>
                <c:pt idx="9">
                  <c:v>87497.654357851439</c:v>
                </c:pt>
                <c:pt idx="10">
                  <c:v>86600.485385355496</c:v>
                </c:pt>
                <c:pt idx="11">
                  <c:v>87500.998639726618</c:v>
                </c:pt>
                <c:pt idx="12">
                  <c:v>88388.79267443018</c:v>
                </c:pt>
                <c:pt idx="13">
                  <c:v>91473.81971401081</c:v>
                </c:pt>
                <c:pt idx="14">
                  <c:v>95433.64354201917</c:v>
                </c:pt>
                <c:pt idx="15">
                  <c:v>100024.62824723797</c:v>
                </c:pt>
                <c:pt idx="16">
                  <c:v>102703.34063236123</c:v>
                </c:pt>
                <c:pt idx="17">
                  <c:v>103767.05484224146</c:v>
                </c:pt>
                <c:pt idx="18">
                  <c:v>103040.60250157592</c:v>
                </c:pt>
                <c:pt idx="19">
                  <c:v>97967.75820311204</c:v>
                </c:pt>
                <c:pt idx="20">
                  <c:v>89806.479678842778</c:v>
                </c:pt>
                <c:pt idx="21">
                  <c:v>85789.663581168512</c:v>
                </c:pt>
                <c:pt idx="22">
                  <c:v>84892.494608672569</c:v>
                </c:pt>
                <c:pt idx="23">
                  <c:v>85793.007863043691</c:v>
                </c:pt>
                <c:pt idx="24">
                  <c:v>86680.801897747253</c:v>
                </c:pt>
              </c:numCache>
            </c:numRef>
          </c:val>
          <c:smooth val="1"/>
        </c:ser>
        <c:ser>
          <c:idx val="1"/>
          <c:order val="1"/>
          <c:tx>
            <c:strRef>
              <c:f>'Drainage-Fed Reservoir'!$AG$4</c:f>
              <c:strCache>
                <c:ptCount val="1"/>
                <c:pt idx="0">
                  <c:v>Worst</c:v>
                </c:pt>
              </c:strCache>
            </c:strRef>
          </c:tx>
          <c:spPr>
            <a:ln>
              <a:prstDash val="solid"/>
            </a:ln>
          </c:spPr>
          <c:marker>
            <c:symbol val="none"/>
          </c:marker>
          <c:cat>
            <c:numRef>
              <c:f>'Drainage-Fed Reservoir'!$AC$5:$AC$29</c:f>
              <c:numCache>
                <c:formatCode>m/d/yyyy</c:formatCode>
                <c:ptCount val="25"/>
                <c:pt idx="0">
                  <c:v>42339</c:v>
                </c:pt>
                <c:pt idx="1">
                  <c:v>42370</c:v>
                </c:pt>
                <c:pt idx="2">
                  <c:v>42401</c:v>
                </c:pt>
                <c:pt idx="3">
                  <c:v>42430</c:v>
                </c:pt>
                <c:pt idx="4">
                  <c:v>42461</c:v>
                </c:pt>
                <c:pt idx="5">
                  <c:v>42491</c:v>
                </c:pt>
                <c:pt idx="6">
                  <c:v>42522</c:v>
                </c:pt>
                <c:pt idx="7">
                  <c:v>42552</c:v>
                </c:pt>
                <c:pt idx="8">
                  <c:v>42583</c:v>
                </c:pt>
                <c:pt idx="9">
                  <c:v>42614</c:v>
                </c:pt>
                <c:pt idx="10">
                  <c:v>42644</c:v>
                </c:pt>
                <c:pt idx="11">
                  <c:v>42675</c:v>
                </c:pt>
                <c:pt idx="12">
                  <c:v>42705</c:v>
                </c:pt>
                <c:pt idx="13">
                  <c:v>42736</c:v>
                </c:pt>
                <c:pt idx="14">
                  <c:v>42767</c:v>
                </c:pt>
                <c:pt idx="15">
                  <c:v>42795</c:v>
                </c:pt>
                <c:pt idx="16">
                  <c:v>42826</c:v>
                </c:pt>
                <c:pt idx="17">
                  <c:v>42856</c:v>
                </c:pt>
                <c:pt idx="18">
                  <c:v>42887</c:v>
                </c:pt>
                <c:pt idx="19">
                  <c:v>42917</c:v>
                </c:pt>
                <c:pt idx="20">
                  <c:v>42948</c:v>
                </c:pt>
                <c:pt idx="21">
                  <c:v>42979</c:v>
                </c:pt>
                <c:pt idx="22">
                  <c:v>43009</c:v>
                </c:pt>
                <c:pt idx="23">
                  <c:v>43040</c:v>
                </c:pt>
                <c:pt idx="24">
                  <c:v>43070</c:v>
                </c:pt>
              </c:numCache>
            </c:numRef>
          </c:cat>
          <c:val>
            <c:numRef>
              <c:f>'Drainage-Fed Reservoir'!$AG$5:$AG$29</c:f>
              <c:numCache>
                <c:formatCode>#,##0</c:formatCode>
                <c:ptCount val="25"/>
                <c:pt idx="0">
                  <c:v>100000</c:v>
                </c:pt>
                <c:pt idx="1">
                  <c:v>99522.34497860058</c:v>
                </c:pt>
                <c:pt idx="2">
                  <c:v>97141.634318702098</c:v>
                </c:pt>
                <c:pt idx="3">
                  <c:v>89586.369065392661</c:v>
                </c:pt>
                <c:pt idx="4">
                  <c:v>84363.068577684884</c:v>
                </c:pt>
                <c:pt idx="5">
                  <c:v>76789.06638797652</c:v>
                </c:pt>
                <c:pt idx="6">
                  <c:v>70210.236886632832</c:v>
                </c:pt>
                <c:pt idx="7">
                  <c:v>55042.475365780832</c:v>
                </c:pt>
                <c:pt idx="8">
                  <c:v>39515.303075544944</c:v>
                </c:pt>
                <c:pt idx="9">
                  <c:v>13864.636209813885</c:v>
                </c:pt>
                <c:pt idx="10">
                  <c:v>1058.6244650144508</c:v>
                </c:pt>
                <c:pt idx="11">
                  <c:v>-5061.3118343784008</c:v>
                </c:pt>
                <c:pt idx="12">
                  <c:v>-12761.719916392918</c:v>
                </c:pt>
                <c:pt idx="13">
                  <c:v>-22049.666567134424</c:v>
                </c:pt>
                <c:pt idx="14">
                  <c:v>-30709.515278192448</c:v>
                </c:pt>
                <c:pt idx="15">
                  <c:v>-38264.780531501885</c:v>
                </c:pt>
                <c:pt idx="16">
                  <c:v>-43488.081019209661</c:v>
                </c:pt>
                <c:pt idx="17">
                  <c:v>-51062.083208918026</c:v>
                </c:pt>
                <c:pt idx="18">
                  <c:v>-57640.912710261713</c:v>
                </c:pt>
                <c:pt idx="19">
                  <c:v>-72808.67423111372</c:v>
                </c:pt>
                <c:pt idx="20">
                  <c:v>-88335.846521349609</c:v>
                </c:pt>
                <c:pt idx="21">
                  <c:v>-113986.51338708066</c:v>
                </c:pt>
                <c:pt idx="22">
                  <c:v>-126792.5251318801</c:v>
                </c:pt>
                <c:pt idx="23">
                  <c:v>-132912.46143127297</c:v>
                </c:pt>
                <c:pt idx="24">
                  <c:v>-140612.8695132875</c:v>
                </c:pt>
              </c:numCache>
            </c:numRef>
          </c:val>
          <c:smooth val="1"/>
        </c:ser>
        <c:ser>
          <c:idx val="2"/>
          <c:order val="2"/>
          <c:tx>
            <c:strRef>
              <c:f>'Drainage-Fed Reservoir'!$AH$4</c:f>
              <c:strCache>
                <c:ptCount val="1"/>
                <c:pt idx="0">
                  <c:v>Drought fit</c:v>
                </c:pt>
              </c:strCache>
            </c:strRef>
          </c:tx>
          <c:spPr>
            <a:ln>
              <a:solidFill>
                <a:schemeClr val="accent4"/>
              </a:solidFill>
            </a:ln>
          </c:spPr>
          <c:marker>
            <c:symbol val="none"/>
          </c:marker>
          <c:cat>
            <c:numRef>
              <c:f>'Drainage-Fed Reservoir'!$AC$5:$AC$29</c:f>
              <c:numCache>
                <c:formatCode>m/d/yyyy</c:formatCode>
                <c:ptCount val="25"/>
                <c:pt idx="0">
                  <c:v>42339</c:v>
                </c:pt>
                <c:pt idx="1">
                  <c:v>42370</c:v>
                </c:pt>
                <c:pt idx="2">
                  <c:v>42401</c:v>
                </c:pt>
                <c:pt idx="3">
                  <c:v>42430</c:v>
                </c:pt>
                <c:pt idx="4">
                  <c:v>42461</c:v>
                </c:pt>
                <c:pt idx="5">
                  <c:v>42491</c:v>
                </c:pt>
                <c:pt idx="6">
                  <c:v>42522</c:v>
                </c:pt>
                <c:pt idx="7">
                  <c:v>42552</c:v>
                </c:pt>
                <c:pt idx="8">
                  <c:v>42583</c:v>
                </c:pt>
                <c:pt idx="9">
                  <c:v>42614</c:v>
                </c:pt>
                <c:pt idx="10">
                  <c:v>42644</c:v>
                </c:pt>
                <c:pt idx="11">
                  <c:v>42675</c:v>
                </c:pt>
                <c:pt idx="12">
                  <c:v>42705</c:v>
                </c:pt>
                <c:pt idx="13">
                  <c:v>42736</c:v>
                </c:pt>
                <c:pt idx="14">
                  <c:v>42767</c:v>
                </c:pt>
                <c:pt idx="15">
                  <c:v>42795</c:v>
                </c:pt>
                <c:pt idx="16">
                  <c:v>42826</c:v>
                </c:pt>
                <c:pt idx="17">
                  <c:v>42856</c:v>
                </c:pt>
                <c:pt idx="18">
                  <c:v>42887</c:v>
                </c:pt>
                <c:pt idx="19">
                  <c:v>42917</c:v>
                </c:pt>
                <c:pt idx="20">
                  <c:v>42948</c:v>
                </c:pt>
                <c:pt idx="21">
                  <c:v>42979</c:v>
                </c:pt>
                <c:pt idx="22">
                  <c:v>43009</c:v>
                </c:pt>
                <c:pt idx="23">
                  <c:v>43040</c:v>
                </c:pt>
                <c:pt idx="24">
                  <c:v>43070</c:v>
                </c:pt>
              </c:numCache>
            </c:numRef>
          </c:cat>
          <c:val>
            <c:numRef>
              <c:f>'Drainage-Fed Reservoir'!$AH$5:$AH$29</c:f>
              <c:numCache>
                <c:formatCode>#,##0</c:formatCode>
                <c:ptCount val="25"/>
                <c:pt idx="0">
                  <c:v>100000</c:v>
                </c:pt>
                <c:pt idx="1">
                  <c:v>99522.34497860058</c:v>
                </c:pt>
                <c:pt idx="2">
                  <c:v>97141.634318702098</c:v>
                </c:pt>
                <c:pt idx="3">
                  <c:v>97141.634318702098</c:v>
                </c:pt>
                <c:pt idx="4">
                  <c:v>97141.634318702098</c:v>
                </c:pt>
                <c:pt idx="5">
                  <c:v>94093.779237583352</c:v>
                </c:pt>
                <c:pt idx="6">
                  <c:v>91390.161242161834</c:v>
                </c:pt>
                <c:pt idx="7">
                  <c:v>85813.36717428088</c:v>
                </c:pt>
                <c:pt idx="8">
                  <c:v>74414.714840250817</c:v>
                </c:pt>
                <c:pt idx="9">
                  <c:v>67230.356325271234</c:v>
                </c:pt>
                <c:pt idx="10">
                  <c:v>63066.895590723609</c:v>
                </c:pt>
                <c:pt idx="11">
                  <c:v>60468.438339802931</c:v>
                </c:pt>
                <c:pt idx="12">
                  <c:v>56937.429083308438</c:v>
                </c:pt>
                <c:pt idx="13">
                  <c:v>55973.439832785887</c:v>
                </c:pt>
                <c:pt idx="14">
                  <c:v>55973.439832785887</c:v>
                </c:pt>
                <c:pt idx="15">
                  <c:v>55973.439832785887</c:v>
                </c:pt>
                <c:pt idx="16">
                  <c:v>55973.439832785887</c:v>
                </c:pt>
                <c:pt idx="17">
                  <c:v>52925.584751667142</c:v>
                </c:pt>
                <c:pt idx="18">
                  <c:v>50221.966756245623</c:v>
                </c:pt>
                <c:pt idx="19">
                  <c:v>44645.17268836467</c:v>
                </c:pt>
                <c:pt idx="20">
                  <c:v>33246.520354334614</c:v>
                </c:pt>
                <c:pt idx="21">
                  <c:v>26062.161839355023</c:v>
                </c:pt>
                <c:pt idx="22">
                  <c:v>21898.701104807398</c:v>
                </c:pt>
                <c:pt idx="23">
                  <c:v>19300.243853886725</c:v>
                </c:pt>
                <c:pt idx="24">
                  <c:v>15769.234597392231</c:v>
                </c:pt>
              </c:numCache>
            </c:numRef>
          </c:val>
          <c:smooth val="1"/>
        </c:ser>
        <c:ser>
          <c:idx val="6"/>
          <c:order val="3"/>
          <c:tx>
            <c:strRef>
              <c:f>'Drainage-Fed Reservoir'!$AI$4</c:f>
              <c:strCache>
                <c:ptCount val="1"/>
                <c:pt idx="0">
                  <c:v>Probability Fit</c:v>
                </c:pt>
              </c:strCache>
            </c:strRef>
          </c:tx>
          <c:spPr>
            <a:ln>
              <a:solidFill>
                <a:schemeClr val="accent5"/>
              </a:solidFill>
            </a:ln>
          </c:spPr>
          <c:marker>
            <c:symbol val="none"/>
          </c:marker>
          <c:cat>
            <c:numRef>
              <c:f>'Drainage-Fed Reservoir'!$AC$5:$AC$29</c:f>
              <c:numCache>
                <c:formatCode>m/d/yyyy</c:formatCode>
                <c:ptCount val="25"/>
                <c:pt idx="0">
                  <c:v>42339</c:v>
                </c:pt>
                <c:pt idx="1">
                  <c:v>42370</c:v>
                </c:pt>
                <c:pt idx="2">
                  <c:v>42401</c:v>
                </c:pt>
                <c:pt idx="3">
                  <c:v>42430</c:v>
                </c:pt>
                <c:pt idx="4">
                  <c:v>42461</c:v>
                </c:pt>
                <c:pt idx="5">
                  <c:v>42491</c:v>
                </c:pt>
                <c:pt idx="6">
                  <c:v>42522</c:v>
                </c:pt>
                <c:pt idx="7">
                  <c:v>42552</c:v>
                </c:pt>
                <c:pt idx="8">
                  <c:v>42583</c:v>
                </c:pt>
                <c:pt idx="9">
                  <c:v>42614</c:v>
                </c:pt>
                <c:pt idx="10">
                  <c:v>42644</c:v>
                </c:pt>
                <c:pt idx="11">
                  <c:v>42675</c:v>
                </c:pt>
                <c:pt idx="12">
                  <c:v>42705</c:v>
                </c:pt>
                <c:pt idx="13">
                  <c:v>42736</c:v>
                </c:pt>
                <c:pt idx="14">
                  <c:v>42767</c:v>
                </c:pt>
                <c:pt idx="15">
                  <c:v>42795</c:v>
                </c:pt>
                <c:pt idx="16">
                  <c:v>42826</c:v>
                </c:pt>
                <c:pt idx="17">
                  <c:v>42856</c:v>
                </c:pt>
                <c:pt idx="18">
                  <c:v>42887</c:v>
                </c:pt>
                <c:pt idx="19">
                  <c:v>42917</c:v>
                </c:pt>
                <c:pt idx="20">
                  <c:v>42948</c:v>
                </c:pt>
                <c:pt idx="21">
                  <c:v>42979</c:v>
                </c:pt>
                <c:pt idx="22">
                  <c:v>43009</c:v>
                </c:pt>
                <c:pt idx="23">
                  <c:v>43040</c:v>
                </c:pt>
                <c:pt idx="24">
                  <c:v>43070</c:v>
                </c:pt>
              </c:numCache>
            </c:numRef>
          </c:cat>
          <c:val>
            <c:numRef>
              <c:f>'Drainage-Fed Reservoir'!$AI$5:$AI$29</c:f>
              <c:numCache>
                <c:formatCode>#,##0</c:formatCode>
                <c:ptCount val="25"/>
                <c:pt idx="0">
                  <c:v>100000</c:v>
                </c:pt>
                <c:pt idx="1">
                  <c:v>99522.34497860058</c:v>
                </c:pt>
                <c:pt idx="2">
                  <c:v>97141.634318702098</c:v>
                </c:pt>
                <c:pt idx="3">
                  <c:v>93761.59550114462</c:v>
                </c:pt>
                <c:pt idx="4">
                  <c:v>90323.544341594505</c:v>
                </c:pt>
                <c:pt idx="5">
                  <c:v>83422.658505026367</c:v>
                </c:pt>
                <c:pt idx="6">
                  <c:v>77294.062904349557</c:v>
                </c:pt>
                <c:pt idx="7">
                  <c:v>65521.270030854983</c:v>
                </c:pt>
                <c:pt idx="8">
                  <c:v>51413.36518363691</c:v>
                </c:pt>
                <c:pt idx="9">
                  <c:v>43120.33741415348</c:v>
                </c:pt>
                <c:pt idx="10">
                  <c:v>33196.589031551703</c:v>
                </c:pt>
                <c:pt idx="11">
                  <c:v>28026.597989449579</c:v>
                </c:pt>
                <c:pt idx="12">
                  <c:v>21741.985667363391</c:v>
                </c:pt>
                <c:pt idx="13">
                  <c:v>17009.314223151196</c:v>
                </c:pt>
                <c:pt idx="14">
                  <c:v>12175.751965760935</c:v>
                </c:pt>
                <c:pt idx="15">
                  <c:v>8795.7131482034638</c:v>
                </c:pt>
                <c:pt idx="16">
                  <c:v>5357.6619886533463</c:v>
                </c:pt>
                <c:pt idx="17">
                  <c:v>-1543.2238479147882</c:v>
                </c:pt>
                <c:pt idx="18">
                  <c:v>-7671.8194485915983</c:v>
                </c:pt>
                <c:pt idx="19">
                  <c:v>-19444.612322086174</c:v>
                </c:pt>
                <c:pt idx="20">
                  <c:v>-33552.517169304243</c:v>
                </c:pt>
                <c:pt idx="21">
                  <c:v>-41845.544938787672</c:v>
                </c:pt>
                <c:pt idx="22">
                  <c:v>-51769.293321389443</c:v>
                </c:pt>
                <c:pt idx="23">
                  <c:v>-56939.284363491563</c:v>
                </c:pt>
                <c:pt idx="24">
                  <c:v>-63223.896685577754</c:v>
                </c:pt>
              </c:numCache>
            </c:numRef>
          </c:val>
          <c:smooth val="1"/>
        </c:ser>
        <c:ser>
          <c:idx val="4"/>
          <c:order val="4"/>
          <c:tx>
            <c:strRef>
              <c:f>'Drainage-Fed Reservoir'!$AD$4</c:f>
              <c:strCache>
                <c:ptCount val="1"/>
                <c:pt idx="0">
                  <c:v>Full Storage</c:v>
                </c:pt>
              </c:strCache>
            </c:strRef>
          </c:tx>
          <c:spPr>
            <a:ln w="25400">
              <a:solidFill>
                <a:schemeClr val="tx1"/>
              </a:solidFill>
              <a:prstDash val="dash"/>
            </a:ln>
          </c:spPr>
          <c:marker>
            <c:symbol val="none"/>
          </c:marker>
          <c:cat>
            <c:numRef>
              <c:f>'Drainage-Fed Reservoir'!$AC$5:$AC$29</c:f>
              <c:numCache>
                <c:formatCode>m/d/yyyy</c:formatCode>
                <c:ptCount val="25"/>
                <c:pt idx="0">
                  <c:v>42339</c:v>
                </c:pt>
                <c:pt idx="1">
                  <c:v>42370</c:v>
                </c:pt>
                <c:pt idx="2">
                  <c:v>42401</c:v>
                </c:pt>
                <c:pt idx="3">
                  <c:v>42430</c:v>
                </c:pt>
                <c:pt idx="4">
                  <c:v>42461</c:v>
                </c:pt>
                <c:pt idx="5">
                  <c:v>42491</c:v>
                </c:pt>
                <c:pt idx="6">
                  <c:v>42522</c:v>
                </c:pt>
                <c:pt idx="7">
                  <c:v>42552</c:v>
                </c:pt>
                <c:pt idx="8">
                  <c:v>42583</c:v>
                </c:pt>
                <c:pt idx="9">
                  <c:v>42614</c:v>
                </c:pt>
                <c:pt idx="10">
                  <c:v>42644</c:v>
                </c:pt>
                <c:pt idx="11">
                  <c:v>42675</c:v>
                </c:pt>
                <c:pt idx="12">
                  <c:v>42705</c:v>
                </c:pt>
                <c:pt idx="13">
                  <c:v>42736</c:v>
                </c:pt>
                <c:pt idx="14">
                  <c:v>42767</c:v>
                </c:pt>
                <c:pt idx="15">
                  <c:v>42795</c:v>
                </c:pt>
                <c:pt idx="16">
                  <c:v>42826</c:v>
                </c:pt>
                <c:pt idx="17">
                  <c:v>42856</c:v>
                </c:pt>
                <c:pt idx="18">
                  <c:v>42887</c:v>
                </c:pt>
                <c:pt idx="19">
                  <c:v>42917</c:v>
                </c:pt>
                <c:pt idx="20">
                  <c:v>42948</c:v>
                </c:pt>
                <c:pt idx="21">
                  <c:v>42979</c:v>
                </c:pt>
                <c:pt idx="22">
                  <c:v>43009</c:v>
                </c:pt>
                <c:pt idx="23">
                  <c:v>43040</c:v>
                </c:pt>
                <c:pt idx="24">
                  <c:v>43070</c:v>
                </c:pt>
              </c:numCache>
            </c:numRef>
          </c:cat>
          <c:val>
            <c:numRef>
              <c:f>'Drainage-Fed Reservoir'!$AD$5:$AD$29</c:f>
              <c:numCache>
                <c:formatCode>#,##0</c:formatCode>
                <c:ptCount val="25"/>
                <c:pt idx="0">
                  <c:v>100000</c:v>
                </c:pt>
                <c:pt idx="1">
                  <c:v>100000</c:v>
                </c:pt>
                <c:pt idx="2">
                  <c:v>100000</c:v>
                </c:pt>
                <c:pt idx="3">
                  <c:v>100000</c:v>
                </c:pt>
                <c:pt idx="4">
                  <c:v>100000</c:v>
                </c:pt>
                <c:pt idx="5">
                  <c:v>100000</c:v>
                </c:pt>
                <c:pt idx="6">
                  <c:v>100000</c:v>
                </c:pt>
                <c:pt idx="7">
                  <c:v>100000</c:v>
                </c:pt>
                <c:pt idx="8">
                  <c:v>100000</c:v>
                </c:pt>
                <c:pt idx="9">
                  <c:v>100000</c:v>
                </c:pt>
                <c:pt idx="10">
                  <c:v>100000</c:v>
                </c:pt>
                <c:pt idx="11">
                  <c:v>100000</c:v>
                </c:pt>
                <c:pt idx="12">
                  <c:v>100000</c:v>
                </c:pt>
                <c:pt idx="13">
                  <c:v>100000</c:v>
                </c:pt>
                <c:pt idx="14">
                  <c:v>100000</c:v>
                </c:pt>
                <c:pt idx="15">
                  <c:v>100000</c:v>
                </c:pt>
                <c:pt idx="16">
                  <c:v>100000</c:v>
                </c:pt>
                <c:pt idx="17">
                  <c:v>100000</c:v>
                </c:pt>
                <c:pt idx="18">
                  <c:v>100000</c:v>
                </c:pt>
                <c:pt idx="19">
                  <c:v>100000</c:v>
                </c:pt>
                <c:pt idx="20">
                  <c:v>100000</c:v>
                </c:pt>
                <c:pt idx="21">
                  <c:v>100000</c:v>
                </c:pt>
                <c:pt idx="22">
                  <c:v>100000</c:v>
                </c:pt>
                <c:pt idx="23">
                  <c:v>100000</c:v>
                </c:pt>
                <c:pt idx="24">
                  <c:v>100000</c:v>
                </c:pt>
              </c:numCache>
            </c:numRef>
          </c:val>
          <c:smooth val="0"/>
        </c:ser>
        <c:ser>
          <c:idx val="3"/>
          <c:order val="5"/>
          <c:tx>
            <c:strRef>
              <c:f>'Drainage-Fed Reservoir'!$AE$4</c:f>
              <c:strCache>
                <c:ptCount val="1"/>
                <c:pt idx="0">
                  <c:v>At-Risk Storage </c:v>
                </c:pt>
              </c:strCache>
            </c:strRef>
          </c:tx>
          <c:spPr>
            <a:ln w="25400">
              <a:solidFill>
                <a:srgbClr val="FF0000"/>
              </a:solidFill>
              <a:prstDash val="dash"/>
            </a:ln>
          </c:spPr>
          <c:marker>
            <c:symbol val="none"/>
          </c:marker>
          <c:cat>
            <c:numRef>
              <c:f>'Drainage-Fed Reservoir'!$AC$5:$AC$29</c:f>
              <c:numCache>
                <c:formatCode>m/d/yyyy</c:formatCode>
                <c:ptCount val="25"/>
                <c:pt idx="0">
                  <c:v>42339</c:v>
                </c:pt>
                <c:pt idx="1">
                  <c:v>42370</c:v>
                </c:pt>
                <c:pt idx="2">
                  <c:v>42401</c:v>
                </c:pt>
                <c:pt idx="3">
                  <c:v>42430</c:v>
                </c:pt>
                <c:pt idx="4">
                  <c:v>42461</c:v>
                </c:pt>
                <c:pt idx="5">
                  <c:v>42491</c:v>
                </c:pt>
                <c:pt idx="6">
                  <c:v>42522</c:v>
                </c:pt>
                <c:pt idx="7">
                  <c:v>42552</c:v>
                </c:pt>
                <c:pt idx="8">
                  <c:v>42583</c:v>
                </c:pt>
                <c:pt idx="9">
                  <c:v>42614</c:v>
                </c:pt>
                <c:pt idx="10">
                  <c:v>42644</c:v>
                </c:pt>
                <c:pt idx="11">
                  <c:v>42675</c:v>
                </c:pt>
                <c:pt idx="12">
                  <c:v>42705</c:v>
                </c:pt>
                <c:pt idx="13">
                  <c:v>42736</c:v>
                </c:pt>
                <c:pt idx="14">
                  <c:v>42767</c:v>
                </c:pt>
                <c:pt idx="15">
                  <c:v>42795</c:v>
                </c:pt>
                <c:pt idx="16">
                  <c:v>42826</c:v>
                </c:pt>
                <c:pt idx="17">
                  <c:v>42856</c:v>
                </c:pt>
                <c:pt idx="18">
                  <c:v>42887</c:v>
                </c:pt>
                <c:pt idx="19">
                  <c:v>42917</c:v>
                </c:pt>
                <c:pt idx="20">
                  <c:v>42948</c:v>
                </c:pt>
                <c:pt idx="21">
                  <c:v>42979</c:v>
                </c:pt>
                <c:pt idx="22">
                  <c:v>43009</c:v>
                </c:pt>
                <c:pt idx="23">
                  <c:v>43040</c:v>
                </c:pt>
                <c:pt idx="24">
                  <c:v>43070</c:v>
                </c:pt>
              </c:numCache>
            </c:numRef>
          </c:cat>
          <c:val>
            <c:numRef>
              <c:f>'Drainage-Fed Reservoir'!$AE$5:$AE$29</c:f>
              <c:numCache>
                <c:formatCode>#,##0</c:formatCode>
                <c:ptCount val="25"/>
                <c:pt idx="0">
                  <c:v>20000</c:v>
                </c:pt>
                <c:pt idx="1">
                  <c:v>20000</c:v>
                </c:pt>
                <c:pt idx="2">
                  <c:v>20000</c:v>
                </c:pt>
                <c:pt idx="3">
                  <c:v>20000</c:v>
                </c:pt>
                <c:pt idx="4">
                  <c:v>20000</c:v>
                </c:pt>
                <c:pt idx="5">
                  <c:v>20000</c:v>
                </c:pt>
                <c:pt idx="6">
                  <c:v>20000</c:v>
                </c:pt>
                <c:pt idx="7">
                  <c:v>20000</c:v>
                </c:pt>
                <c:pt idx="8">
                  <c:v>20000</c:v>
                </c:pt>
                <c:pt idx="9">
                  <c:v>20000</c:v>
                </c:pt>
                <c:pt idx="10">
                  <c:v>20000</c:v>
                </c:pt>
                <c:pt idx="11">
                  <c:v>20000</c:v>
                </c:pt>
                <c:pt idx="12">
                  <c:v>20000</c:v>
                </c:pt>
                <c:pt idx="13">
                  <c:v>20000</c:v>
                </c:pt>
                <c:pt idx="14">
                  <c:v>20000</c:v>
                </c:pt>
                <c:pt idx="15">
                  <c:v>20000</c:v>
                </c:pt>
                <c:pt idx="16">
                  <c:v>20000</c:v>
                </c:pt>
                <c:pt idx="17">
                  <c:v>20000</c:v>
                </c:pt>
                <c:pt idx="18">
                  <c:v>20000</c:v>
                </c:pt>
                <c:pt idx="19">
                  <c:v>20000</c:v>
                </c:pt>
                <c:pt idx="20">
                  <c:v>20000</c:v>
                </c:pt>
                <c:pt idx="21">
                  <c:v>20000</c:v>
                </c:pt>
                <c:pt idx="22">
                  <c:v>20000</c:v>
                </c:pt>
                <c:pt idx="23">
                  <c:v>20000</c:v>
                </c:pt>
                <c:pt idx="24">
                  <c:v>20000</c:v>
                </c:pt>
              </c:numCache>
            </c:numRef>
          </c:val>
          <c:smooth val="0"/>
        </c:ser>
        <c:dLbls>
          <c:showLegendKey val="0"/>
          <c:showVal val="0"/>
          <c:showCatName val="0"/>
          <c:showSerName val="0"/>
          <c:showPercent val="0"/>
          <c:showBubbleSize val="0"/>
        </c:dLbls>
        <c:smooth val="0"/>
        <c:axId val="289415216"/>
        <c:axId val="289413256"/>
      </c:lineChart>
      <c:dateAx>
        <c:axId val="289415216"/>
        <c:scaling>
          <c:orientation val="minMax"/>
        </c:scaling>
        <c:delete val="0"/>
        <c:axPos val="b"/>
        <c:numFmt formatCode="m/d/yyyy" sourceLinked="1"/>
        <c:majorTickMark val="none"/>
        <c:minorTickMark val="none"/>
        <c:tickLblPos val="nextTo"/>
        <c:crossAx val="289413256"/>
        <c:crosses val="autoZero"/>
        <c:auto val="1"/>
        <c:lblOffset val="100"/>
        <c:baseTimeUnit val="months"/>
      </c:dateAx>
      <c:valAx>
        <c:axId val="289413256"/>
        <c:scaling>
          <c:orientation val="minMax"/>
          <c:min val="0"/>
        </c:scaling>
        <c:delete val="0"/>
        <c:axPos val="l"/>
        <c:majorGridlines/>
        <c:title>
          <c:tx>
            <c:rich>
              <a:bodyPr/>
              <a:lstStyle/>
              <a:p>
                <a:pPr>
                  <a:defRPr/>
                </a:pPr>
                <a:r>
                  <a:rPr lang="en-US"/>
                  <a:t>Acre-feet</a:t>
                </a:r>
              </a:p>
            </c:rich>
          </c:tx>
          <c:layout/>
          <c:overlay val="0"/>
        </c:title>
        <c:numFmt formatCode="#,##0" sourceLinked="1"/>
        <c:majorTickMark val="none"/>
        <c:minorTickMark val="none"/>
        <c:tickLblPos val="nextTo"/>
        <c:crossAx val="289415216"/>
        <c:crosses val="autoZero"/>
        <c:crossBetween val="between"/>
      </c:valAx>
    </c:plotArea>
    <c:legend>
      <c:legendPos val="r"/>
      <c:layout/>
      <c:overlay val="0"/>
    </c:legend>
    <c:plotVisOnly val="1"/>
    <c:dispBlanksAs val="gap"/>
    <c:showDLblsOverMax val="0"/>
  </c:chart>
  <c:spPr>
    <a:ln w="6350">
      <a:solidFill>
        <a:schemeClr val="tx1"/>
      </a:solid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Monthly Changes in Reservoir Storage </a:t>
            </a:r>
          </a:p>
        </c:rich>
      </c:tx>
      <c:overlay val="0"/>
    </c:title>
    <c:autoTitleDeleted val="0"/>
    <c:plotArea>
      <c:layout/>
      <c:lineChart>
        <c:grouping val="standard"/>
        <c:varyColors val="0"/>
        <c:ser>
          <c:idx val="6"/>
          <c:order val="0"/>
          <c:tx>
            <c:strRef>
              <c:f>'Drainage-Fed Reservoir'!$AT$19</c:f>
              <c:strCache>
                <c:ptCount val="1"/>
                <c:pt idx="0">
                  <c:v>Max</c:v>
                </c:pt>
              </c:strCache>
            </c:strRef>
          </c:tx>
          <c:spPr>
            <a:ln>
              <a:solidFill>
                <a:schemeClr val="accent5"/>
              </a:solidFill>
              <a:prstDash val="solid"/>
            </a:ln>
          </c:spPr>
          <c:marker>
            <c:symbol val="none"/>
          </c:marker>
          <c:val>
            <c:numRef>
              <c:f>'Drainage-Fed Reservoir'!$AT$20:$AT$31</c:f>
              <c:numCache>
                <c:formatCode>_(* #,##0_);_(* \(#,##0\);_(* "-"??_);_(@_)</c:formatCode>
                <c:ptCount val="12"/>
                <c:pt idx="0">
                  <c:v>14550.213994227131</c:v>
                </c:pt>
                <c:pt idx="1">
                  <c:v>18865.108987757558</c:v>
                </c:pt>
                <c:pt idx="2">
                  <c:v>15879.740220961481</c:v>
                </c:pt>
                <c:pt idx="3">
                  <c:v>14136.383995222452</c:v>
                </c:pt>
                <c:pt idx="4">
                  <c:v>14501.069971135643</c:v>
                </c:pt>
                <c:pt idx="5">
                  <c:v>7574.0021897083643</c:v>
                </c:pt>
                <c:pt idx="6">
                  <c:v>5223.3004877077765</c:v>
                </c:pt>
                <c:pt idx="7">
                  <c:v>5209.9382900368219</c:v>
                </c:pt>
                <c:pt idx="8">
                  <c:v>8857.3006867721851</c:v>
                </c:pt>
                <c:pt idx="9">
                  <c:v>11625.908231312831</c:v>
                </c:pt>
                <c:pt idx="10">
                  <c:v>18232.979994028065</c:v>
                </c:pt>
                <c:pt idx="11">
                  <c:v>12671.070966457657</c:v>
                </c:pt>
              </c:numCache>
            </c:numRef>
          </c:val>
          <c:smooth val="0"/>
        </c:ser>
        <c:ser>
          <c:idx val="5"/>
          <c:order val="1"/>
          <c:tx>
            <c:strRef>
              <c:f>'Drainage-Fed Reservoir'!$AU$19</c:f>
              <c:strCache>
                <c:ptCount val="1"/>
                <c:pt idx="0">
                  <c:v>Average</c:v>
                </c:pt>
              </c:strCache>
            </c:strRef>
          </c:tx>
          <c:spPr>
            <a:ln>
              <a:solidFill>
                <a:schemeClr val="accent6"/>
              </a:solidFill>
            </a:ln>
          </c:spPr>
          <c:marker>
            <c:symbol val="none"/>
          </c:marker>
          <c:cat>
            <c:strRef>
              <c:f>'Drainage-Fed Reservoir'!$AS$20:$AS$31</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'Drainage-Fed Reservoir'!$AU$20:$AU$31</c:f>
              <c:numCache>
                <c:formatCode>_(* #,##0_);_(* \(#,##0\);_(* "-"??_);_(@_)</c:formatCode>
                <c:ptCount val="12"/>
                <c:pt idx="0">
                  <c:v>3085.0270395806365</c:v>
                </c:pt>
                <c:pt idx="1">
                  <c:v>3959.8238280083638</c:v>
                </c:pt>
                <c:pt idx="2">
                  <c:v>4590.9847052188024</c:v>
                </c:pt>
                <c:pt idx="3">
                  <c:v>2678.7123851232541</c:v>
                </c:pt>
                <c:pt idx="4">
                  <c:v>1063.7142098802296</c:v>
                </c:pt>
                <c:pt idx="5">
                  <c:v>-726.45234066553724</c:v>
                </c:pt>
                <c:pt idx="6">
                  <c:v>-5072.8442984638859</c:v>
                </c:pt>
                <c:pt idx="7">
                  <c:v>-8161.2785242692671</c:v>
                </c:pt>
                <c:pt idx="8">
                  <c:v>-4016.8160976742643</c:v>
                </c:pt>
                <c:pt idx="9">
                  <c:v>-897.16897249593706</c:v>
                </c:pt>
                <c:pt idx="10">
                  <c:v>900.513254371122</c:v>
                </c:pt>
                <c:pt idx="11">
                  <c:v>887.79403470355953</c:v>
                </c:pt>
              </c:numCache>
            </c:numRef>
          </c:val>
          <c:smooth val="0"/>
        </c:ser>
        <c:ser>
          <c:idx val="0"/>
          <c:order val="2"/>
          <c:tx>
            <c:strRef>
              <c:f>'Drainage-Fed Reservoir'!$AV$19</c:f>
              <c:strCache>
                <c:ptCount val="1"/>
                <c:pt idx="0">
                  <c:v>Min</c:v>
                </c:pt>
              </c:strCache>
            </c:strRef>
          </c:tx>
          <c:spPr>
            <a:ln>
              <a:solidFill>
                <a:schemeClr val="accent2">
                  <a:lumMod val="75000"/>
                </a:schemeClr>
              </a:solidFill>
            </a:ln>
          </c:spPr>
          <c:marker>
            <c:symbol val="none"/>
          </c:marker>
          <c:cat>
            <c:strRef>
              <c:f>'Drainage-Fed Reservoir'!$AS$20:$AS$31</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'Drainage-Fed Reservoir'!$AV$20:$AV$31</c:f>
              <c:numCache>
                <c:formatCode>_(* #,##0_);_(* \(#,##0\);_(* "-"??_);_(@_)</c:formatCode>
                <c:ptCount val="12"/>
                <c:pt idx="0">
                  <c:v>-9287.9466507415054</c:v>
                </c:pt>
                <c:pt idx="1">
                  <c:v>-8659.8487110580245</c:v>
                </c:pt>
                <c:pt idx="2">
                  <c:v>-7555.265253309437</c:v>
                </c:pt>
                <c:pt idx="3">
                  <c:v>-5223.3004877077765</c:v>
                </c:pt>
                <c:pt idx="4">
                  <c:v>-7574.0021897083643</c:v>
                </c:pt>
                <c:pt idx="5">
                  <c:v>-6578.8295013436873</c:v>
                </c:pt>
                <c:pt idx="6">
                  <c:v>-15167.761520852</c:v>
                </c:pt>
                <c:pt idx="7">
                  <c:v>-15527.172290235889</c:v>
                </c:pt>
                <c:pt idx="8">
                  <c:v>-25650.666865731058</c:v>
                </c:pt>
                <c:pt idx="9">
                  <c:v>-12806.011744799434</c:v>
                </c:pt>
                <c:pt idx="10">
                  <c:v>-6119.9362993928517</c:v>
                </c:pt>
                <c:pt idx="11">
                  <c:v>-7700.4080820145173</c:v>
                </c:pt>
              </c:numCache>
            </c:numRef>
          </c:val>
          <c:smooth val="0"/>
        </c:ser>
        <c:ser>
          <c:idx val="1"/>
          <c:order val="3"/>
          <c:tx>
            <c:strRef>
              <c:f>'Drainage-Fed Reservoir'!$AW$19</c:f>
              <c:strCache>
                <c:ptCount val="1"/>
                <c:pt idx="0">
                  <c:v>30th Percentile</c:v>
                </c:pt>
              </c:strCache>
            </c:strRef>
          </c:tx>
          <c:spPr>
            <a:ln>
              <a:solidFill>
                <a:schemeClr val="accent4">
                  <a:lumMod val="50000"/>
                </a:schemeClr>
              </a:solidFill>
            </a:ln>
          </c:spPr>
          <c:marker>
            <c:symbol val="none"/>
          </c:marker>
          <c:cat>
            <c:strRef>
              <c:f>'Drainage-Fed Reservoir'!$AS$20:$AS$31</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'Drainage-Fed Reservoir'!$AW$20:$AW$31</c:f>
              <c:numCache>
                <c:formatCode>_(* #,##0_);_(* \(#,##0\);_(* "-"??_);_(@_)</c:formatCode>
                <c:ptCount val="12"/>
                <c:pt idx="0">
                  <c:v>-963.98925052255174</c:v>
                </c:pt>
                <c:pt idx="1">
                  <c:v>1889.3699611824472</c:v>
                </c:pt>
                <c:pt idx="2">
                  <c:v>649.99502339005721</c:v>
                </c:pt>
                <c:pt idx="3">
                  <c:v>95.33691649248658</c:v>
                </c:pt>
                <c:pt idx="4">
                  <c:v>-3047.855081118742</c:v>
                </c:pt>
                <c:pt idx="5">
                  <c:v>-2703.6179954215186</c:v>
                </c:pt>
                <c:pt idx="6">
                  <c:v>-5576.7940678809537</c:v>
                </c:pt>
                <c:pt idx="7">
                  <c:v>-11398.652334030059</c:v>
                </c:pt>
                <c:pt idx="8">
                  <c:v>-7184.358514979589</c:v>
                </c:pt>
                <c:pt idx="9">
                  <c:v>-4163.4607345476243</c:v>
                </c:pt>
                <c:pt idx="10">
                  <c:v>-2598.4572509206741</c:v>
                </c:pt>
                <c:pt idx="11">
                  <c:v>-3531.0092564944935</c:v>
                </c:pt>
              </c:numCache>
            </c:numRef>
          </c:val>
          <c:smooth val="0"/>
        </c:ser>
        <c:ser>
          <c:idx val="4"/>
          <c:order val="4"/>
          <c:tx>
            <c:strRef>
              <c:f>'Drainage-Fed Reservoir'!$AX$19</c:f>
              <c:strCache>
                <c:ptCount val="1"/>
                <c:pt idx="0">
                  <c:v>Drought Fit</c:v>
                </c:pt>
              </c:strCache>
            </c:strRef>
          </c:tx>
          <c:spPr>
            <a:ln>
              <a:solidFill>
                <a:schemeClr val="accent4"/>
              </a:solidFill>
              <a:prstDash val="dash"/>
            </a:ln>
          </c:spPr>
          <c:marker>
            <c:symbol val="none"/>
          </c:marker>
          <c:val>
            <c:numRef>
              <c:f>'Drainage-Fed Reservoir'!$AX$20:$AX$31</c:f>
              <c:numCache>
                <c:formatCode>_(* #,##0_);_(* \(#,##0\);_(* "-"??_);_(@_)</c:formatCode>
                <c:ptCount val="12"/>
                <c:pt idx="0">
                  <c:v>-963.98925052255174</c:v>
                </c:pt>
                <c:pt idx="1">
                  <c:v>0</c:v>
                </c:pt>
                <c:pt idx="2">
                  <c:v>0</c:v>
                </c:pt>
                <c:pt idx="3">
                  <c:v>0</c:v>
                </c:pt>
                <c:pt idx="4">
                  <c:v>-3047.855081118742</c:v>
                </c:pt>
                <c:pt idx="5">
                  <c:v>-2703.6179954215186</c:v>
                </c:pt>
                <c:pt idx="6">
                  <c:v>-5576.7940678809537</c:v>
                </c:pt>
                <c:pt idx="7">
                  <c:v>-11398.652334030059</c:v>
                </c:pt>
                <c:pt idx="8">
                  <c:v>-7184.358514979589</c:v>
                </c:pt>
                <c:pt idx="9">
                  <c:v>-4163.4607345476243</c:v>
                </c:pt>
                <c:pt idx="10">
                  <c:v>-2598.4572509206741</c:v>
                </c:pt>
                <c:pt idx="11">
                  <c:v>-3531.0092564944935</c:v>
                </c:pt>
              </c:numCache>
            </c:numRef>
          </c:val>
          <c:smooth val="0"/>
        </c:ser>
        <c:dLbls>
          <c:showLegendKey val="0"/>
          <c:showVal val="0"/>
          <c:showCatName val="0"/>
          <c:showSerName val="0"/>
          <c:showPercent val="0"/>
          <c:showBubbleSize val="0"/>
        </c:dLbls>
        <c:smooth val="0"/>
        <c:axId val="422244784"/>
        <c:axId val="422245176"/>
      </c:lineChart>
      <c:catAx>
        <c:axId val="422244784"/>
        <c:scaling>
          <c:orientation val="minMax"/>
        </c:scaling>
        <c:delete val="0"/>
        <c:axPos val="b"/>
        <c:majorTickMark val="none"/>
        <c:minorTickMark val="none"/>
        <c:tickLblPos val="nextTo"/>
        <c:crossAx val="422245176"/>
        <c:crosses val="autoZero"/>
        <c:auto val="1"/>
        <c:lblAlgn val="ctr"/>
        <c:lblOffset val="100"/>
        <c:noMultiLvlLbl val="0"/>
      </c:catAx>
      <c:valAx>
        <c:axId val="422245176"/>
        <c:scaling>
          <c:orientation val="minMax"/>
        </c:scaling>
        <c:delete val="0"/>
        <c:axPos val="l"/>
        <c:majorGridlines/>
        <c:title>
          <c:tx>
            <c:rich>
              <a:bodyPr/>
              <a:lstStyle/>
              <a:p>
                <a:pPr>
                  <a:defRPr b="1"/>
                </a:pPr>
                <a:r>
                  <a:rPr lang="en-US" b="1"/>
                  <a:t>Storage (Acre-feet)</a:t>
                </a:r>
              </a:p>
            </c:rich>
          </c:tx>
          <c:overlay val="0"/>
        </c:title>
        <c:numFmt formatCode="_(* #,##0_);_(* \(#,##0\);_(* &quot;-&quot;??_);_(@_)" sourceLinked="1"/>
        <c:majorTickMark val="none"/>
        <c:minorTickMark val="none"/>
        <c:tickLblPos val="nextTo"/>
        <c:crossAx val="422244784"/>
        <c:crosses val="autoZero"/>
        <c:crossBetween val="between"/>
      </c:valAx>
    </c:plotArea>
    <c:legend>
      <c:legendPos val="t"/>
      <c:overlay val="0"/>
    </c:legend>
    <c:plotVisOnly val="1"/>
    <c:dispBlanksAs val="gap"/>
    <c:showDLblsOverMax val="0"/>
  </c:chart>
  <c:spPr>
    <a:solidFill>
      <a:schemeClr val="accent1">
        <a:lumMod val="20000"/>
        <a:lumOff val="80000"/>
      </a:schemeClr>
    </a:solidFill>
    <a:ln w="6350">
      <a:solidFill>
        <a:schemeClr val="tx1"/>
      </a:solidFill>
    </a:ln>
  </c:sp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Historical</a:t>
            </a:r>
            <a:r>
              <a:rPr lang="en-US" baseline="0"/>
              <a:t> </a:t>
            </a:r>
            <a:r>
              <a:rPr lang="en-US"/>
              <a:t>Storage</a:t>
            </a:r>
          </a:p>
        </c:rich>
      </c:tx>
      <c:overlay val="0"/>
    </c:title>
    <c:autoTitleDeleted val="0"/>
    <c:plotArea>
      <c:layout/>
      <c:areaChart>
        <c:grouping val="standard"/>
        <c:varyColors val="0"/>
        <c:ser>
          <c:idx val="2"/>
          <c:order val="0"/>
          <c:tx>
            <c:strRef>
              <c:f>'Off-Channel Reservoir'!$Z$3</c:f>
              <c:strCache>
                <c:ptCount val="1"/>
                <c:pt idx="0">
                  <c:v>Storage (Acre-ft)</c:v>
                </c:pt>
              </c:strCache>
            </c:strRef>
          </c:tx>
          <c:spPr>
            <a:solidFill>
              <a:schemeClr val="accent1"/>
            </a:solidFill>
            <a:ln>
              <a:solidFill>
                <a:schemeClr val="accent1"/>
              </a:solidFill>
            </a:ln>
          </c:spPr>
          <c:cat>
            <c:numRef>
              <c:f>'Off-Channel Reservoir'!$W$4:$W$39</c:f>
              <c:numCache>
                <c:formatCode>yyyy</c:formatCode>
                <c:ptCount val="3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numCache>
            </c:numRef>
          </c:cat>
          <c:val>
            <c:numRef>
              <c:f>'Off-Channel Reservoir'!$Z$4:$Z$40</c:f>
              <c:numCache>
                <c:formatCode>_(* #,##0_);_(* \(#,##0\);_(* "-"??_);_(@_)</c:formatCode>
                <c:ptCount val="37"/>
                <c:pt idx="0">
                  <c:v>13650</c:v>
                </c:pt>
                <c:pt idx="1">
                  <c:v>13650</c:v>
                </c:pt>
                <c:pt idx="2">
                  <c:v>13650</c:v>
                </c:pt>
                <c:pt idx="3">
                  <c:v>13650</c:v>
                </c:pt>
                <c:pt idx="4">
                  <c:v>13650</c:v>
                </c:pt>
                <c:pt idx="5">
                  <c:v>13650</c:v>
                </c:pt>
                <c:pt idx="6">
                  <c:v>13650</c:v>
                </c:pt>
                <c:pt idx="7">
                  <c:v>13650</c:v>
                </c:pt>
                <c:pt idx="8">
                  <c:v>13650</c:v>
                </c:pt>
                <c:pt idx="9">
                  <c:v>13650</c:v>
                </c:pt>
                <c:pt idx="10">
                  <c:v>13650</c:v>
                </c:pt>
                <c:pt idx="11">
                  <c:v>13650</c:v>
                </c:pt>
                <c:pt idx="12">
                  <c:v>13650</c:v>
                </c:pt>
                <c:pt idx="13">
                  <c:v>13650</c:v>
                </c:pt>
                <c:pt idx="14">
                  <c:v>13650</c:v>
                </c:pt>
                <c:pt idx="15">
                  <c:v>13650</c:v>
                </c:pt>
                <c:pt idx="16">
                  <c:v>13650</c:v>
                </c:pt>
                <c:pt idx="17">
                  <c:v>13650</c:v>
                </c:pt>
                <c:pt idx="18">
                  <c:v>13650</c:v>
                </c:pt>
                <c:pt idx="19">
                  <c:v>13650</c:v>
                </c:pt>
                <c:pt idx="20">
                  <c:v>13650</c:v>
                </c:pt>
                <c:pt idx="21">
                  <c:v>13650</c:v>
                </c:pt>
                <c:pt idx="22">
                  <c:v>13650</c:v>
                </c:pt>
                <c:pt idx="23">
                  <c:v>13650</c:v>
                </c:pt>
                <c:pt idx="24">
                  <c:v>13650</c:v>
                </c:pt>
                <c:pt idx="25">
                  <c:v>13650</c:v>
                </c:pt>
                <c:pt idx="26">
                  <c:v>#N/A</c:v>
                </c:pt>
                <c:pt idx="27">
                  <c:v>#N/A</c:v>
                </c:pt>
                <c:pt idx="28">
                  <c:v>#N/A</c:v>
                </c:pt>
                <c:pt idx="29">
                  <c:v>#N/A</c:v>
                </c:pt>
                <c:pt idx="30">
                  <c:v>#N/A</c:v>
                </c:pt>
                <c:pt idx="31">
                  <c:v>#N/A</c:v>
                </c:pt>
                <c:pt idx="32">
                  <c:v>#N/A</c:v>
                </c:pt>
                <c:pt idx="33">
                  <c:v>#N/A</c:v>
                </c:pt>
                <c:pt idx="34">
                  <c:v>#N/A</c:v>
                </c:pt>
                <c:pt idx="35">
                  <c:v>#N/A</c:v>
                </c:pt>
              </c:numCache>
            </c:numRef>
          </c:val>
        </c:ser>
        <c:dLbls>
          <c:showLegendKey val="0"/>
          <c:showVal val="0"/>
          <c:showCatName val="0"/>
          <c:showSerName val="0"/>
          <c:showPercent val="0"/>
          <c:showBubbleSize val="0"/>
        </c:dLbls>
        <c:axId val="422249096"/>
        <c:axId val="422249488"/>
      </c:areaChart>
      <c:dateAx>
        <c:axId val="422249096"/>
        <c:scaling>
          <c:orientation val="minMax"/>
        </c:scaling>
        <c:delete val="0"/>
        <c:axPos val="b"/>
        <c:numFmt formatCode="m/d/yyyy" sourceLinked="0"/>
        <c:majorTickMark val="out"/>
        <c:minorTickMark val="none"/>
        <c:tickLblPos val="nextTo"/>
        <c:crossAx val="422249488"/>
        <c:crosses val="autoZero"/>
        <c:auto val="1"/>
        <c:lblOffset val="100"/>
        <c:baseTimeUnit val="months"/>
      </c:dateAx>
      <c:valAx>
        <c:axId val="422249488"/>
        <c:scaling>
          <c:orientation val="minMax"/>
        </c:scaling>
        <c:delete val="0"/>
        <c:axPos val="l"/>
        <c:majorGridlines/>
        <c:title>
          <c:tx>
            <c:rich>
              <a:bodyPr rot="-5400000" vert="horz"/>
              <a:lstStyle/>
              <a:p>
                <a:pPr>
                  <a:defRPr/>
                </a:pPr>
                <a:r>
                  <a:rPr lang="en-US"/>
                  <a:t>Acre-feet</a:t>
                </a:r>
              </a:p>
            </c:rich>
          </c:tx>
          <c:overlay val="0"/>
        </c:title>
        <c:numFmt formatCode="#,##0" sourceLinked="0"/>
        <c:majorTickMark val="out"/>
        <c:minorTickMark val="none"/>
        <c:tickLblPos val="nextTo"/>
        <c:crossAx val="422249096"/>
        <c:crosses val="autoZero"/>
        <c:crossBetween val="midCat"/>
      </c:valAx>
    </c:plotArea>
    <c:legend>
      <c:legendPos val="r"/>
      <c:overlay val="0"/>
    </c:legend>
    <c:plotVisOnly val="1"/>
    <c:dispBlanksAs val="gap"/>
    <c:showDLblsOverMax val="0"/>
  </c:chart>
  <c:spPr>
    <a:ln w="6350">
      <a:solidFill>
        <a:schemeClr val="tx1"/>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Reservoir Storage Prediction</a:t>
            </a:r>
            <a:endParaRPr lang="en-US"/>
          </a:p>
        </c:rich>
      </c:tx>
      <c:overlay val="0"/>
    </c:title>
    <c:autoTitleDeleted val="0"/>
    <c:plotArea>
      <c:layout>
        <c:manualLayout>
          <c:layoutTarget val="inner"/>
          <c:xMode val="edge"/>
          <c:yMode val="edge"/>
          <c:x val="9.2172251225079965E-2"/>
          <c:y val="7.5180454333978006E-2"/>
          <c:w val="0.74441501242153263"/>
          <c:h val="0.83185526343371319"/>
        </c:manualLayout>
      </c:layout>
      <c:lineChart>
        <c:grouping val="standard"/>
        <c:varyColors val="0"/>
        <c:ser>
          <c:idx val="2"/>
          <c:order val="0"/>
          <c:tx>
            <c:v>Drought Fit</c:v>
          </c:tx>
          <c:spPr>
            <a:ln>
              <a:solidFill>
                <a:schemeClr val="accent4"/>
              </a:solidFill>
            </a:ln>
          </c:spPr>
          <c:marker>
            <c:symbol val="none"/>
          </c:marker>
          <c:cat>
            <c:numRef>
              <c:f>'Off-Channel Reservoir'!$AC$5:$AC$29</c:f>
              <c:numCache>
                <c:formatCode>m/d/yyyy</c:formatCode>
                <c:ptCount val="25"/>
                <c:pt idx="0">
                  <c:v>42339</c:v>
                </c:pt>
                <c:pt idx="1">
                  <c:v>42370</c:v>
                </c:pt>
                <c:pt idx="2">
                  <c:v>42401</c:v>
                </c:pt>
                <c:pt idx="3">
                  <c:v>42430</c:v>
                </c:pt>
                <c:pt idx="4">
                  <c:v>42461</c:v>
                </c:pt>
                <c:pt idx="5">
                  <c:v>42491</c:v>
                </c:pt>
                <c:pt idx="6">
                  <c:v>42522</c:v>
                </c:pt>
                <c:pt idx="7">
                  <c:v>42552</c:v>
                </c:pt>
                <c:pt idx="8">
                  <c:v>42583</c:v>
                </c:pt>
                <c:pt idx="9">
                  <c:v>42614</c:v>
                </c:pt>
                <c:pt idx="10">
                  <c:v>42644</c:v>
                </c:pt>
                <c:pt idx="11">
                  <c:v>42675</c:v>
                </c:pt>
                <c:pt idx="12">
                  <c:v>42705</c:v>
                </c:pt>
                <c:pt idx="13">
                  <c:v>42736</c:v>
                </c:pt>
                <c:pt idx="14">
                  <c:v>42767</c:v>
                </c:pt>
                <c:pt idx="15">
                  <c:v>42795</c:v>
                </c:pt>
                <c:pt idx="16">
                  <c:v>42826</c:v>
                </c:pt>
                <c:pt idx="17">
                  <c:v>42856</c:v>
                </c:pt>
                <c:pt idx="18">
                  <c:v>42887</c:v>
                </c:pt>
                <c:pt idx="19">
                  <c:v>42917</c:v>
                </c:pt>
                <c:pt idx="20">
                  <c:v>42948</c:v>
                </c:pt>
                <c:pt idx="21">
                  <c:v>42979</c:v>
                </c:pt>
                <c:pt idx="22">
                  <c:v>43009</c:v>
                </c:pt>
                <c:pt idx="23">
                  <c:v>43040</c:v>
                </c:pt>
                <c:pt idx="24">
                  <c:v>43070</c:v>
                </c:pt>
              </c:numCache>
            </c:numRef>
          </c:cat>
          <c:val>
            <c:numRef>
              <c:f>'Off-Channel Reservoir'!$AF$5:$AF$29</c:f>
              <c:numCache>
                <c:formatCode>#,##0</c:formatCode>
                <c:ptCount val="25"/>
                <c:pt idx="0">
                  <c:v>13650</c:v>
                </c:pt>
                <c:pt idx="1">
                  <c:v>13650</c:v>
                </c:pt>
                <c:pt idx="2">
                  <c:v>13650</c:v>
                </c:pt>
                <c:pt idx="3">
                  <c:v>13160</c:v>
                </c:pt>
                <c:pt idx="4">
                  <c:v>12600</c:v>
                </c:pt>
                <c:pt idx="5">
                  <c:v>11970</c:v>
                </c:pt>
                <c:pt idx="6">
                  <c:v>11270</c:v>
                </c:pt>
                <c:pt idx="7">
                  <c:v>10430</c:v>
                </c:pt>
                <c:pt idx="8">
                  <c:v>9660</c:v>
                </c:pt>
                <c:pt idx="9">
                  <c:v>9100</c:v>
                </c:pt>
                <c:pt idx="10">
                  <c:v>8610</c:v>
                </c:pt>
                <c:pt idx="11">
                  <c:v>8260</c:v>
                </c:pt>
                <c:pt idx="12">
                  <c:v>7980</c:v>
                </c:pt>
                <c:pt idx="13">
                  <c:v>7700</c:v>
                </c:pt>
                <c:pt idx="14">
                  <c:v>7350</c:v>
                </c:pt>
                <c:pt idx="15">
                  <c:v>6860</c:v>
                </c:pt>
                <c:pt idx="16">
                  <c:v>6300</c:v>
                </c:pt>
                <c:pt idx="17">
                  <c:v>5670</c:v>
                </c:pt>
                <c:pt idx="18">
                  <c:v>4970</c:v>
                </c:pt>
                <c:pt idx="19">
                  <c:v>4130</c:v>
                </c:pt>
                <c:pt idx="20">
                  <c:v>3360</c:v>
                </c:pt>
                <c:pt idx="21">
                  <c:v>2800</c:v>
                </c:pt>
                <c:pt idx="22">
                  <c:v>2310</c:v>
                </c:pt>
                <c:pt idx="23">
                  <c:v>1960</c:v>
                </c:pt>
                <c:pt idx="24">
                  <c:v>1680</c:v>
                </c:pt>
              </c:numCache>
            </c:numRef>
          </c:val>
          <c:smooth val="0"/>
        </c:ser>
        <c:ser>
          <c:idx val="4"/>
          <c:order val="1"/>
          <c:tx>
            <c:strRef>
              <c:f>'Off-Channel Reservoir'!$AD$4</c:f>
              <c:strCache>
                <c:ptCount val="1"/>
                <c:pt idx="0">
                  <c:v>Full Storage</c:v>
                </c:pt>
              </c:strCache>
            </c:strRef>
          </c:tx>
          <c:spPr>
            <a:ln>
              <a:solidFill>
                <a:schemeClr val="tx1"/>
              </a:solidFill>
              <a:prstDash val="dash"/>
            </a:ln>
          </c:spPr>
          <c:marker>
            <c:symbol val="none"/>
          </c:marker>
          <c:cat>
            <c:numRef>
              <c:f>'Off-Channel Reservoir'!$AC$5:$AC$29</c:f>
              <c:numCache>
                <c:formatCode>m/d/yyyy</c:formatCode>
                <c:ptCount val="25"/>
                <c:pt idx="0">
                  <c:v>42339</c:v>
                </c:pt>
                <c:pt idx="1">
                  <c:v>42370</c:v>
                </c:pt>
                <c:pt idx="2">
                  <c:v>42401</c:v>
                </c:pt>
                <c:pt idx="3">
                  <c:v>42430</c:v>
                </c:pt>
                <c:pt idx="4">
                  <c:v>42461</c:v>
                </c:pt>
                <c:pt idx="5">
                  <c:v>42491</c:v>
                </c:pt>
                <c:pt idx="6">
                  <c:v>42522</c:v>
                </c:pt>
                <c:pt idx="7">
                  <c:v>42552</c:v>
                </c:pt>
                <c:pt idx="8">
                  <c:v>42583</c:v>
                </c:pt>
                <c:pt idx="9">
                  <c:v>42614</c:v>
                </c:pt>
                <c:pt idx="10">
                  <c:v>42644</c:v>
                </c:pt>
                <c:pt idx="11">
                  <c:v>42675</c:v>
                </c:pt>
                <c:pt idx="12">
                  <c:v>42705</c:v>
                </c:pt>
                <c:pt idx="13">
                  <c:v>42736</c:v>
                </c:pt>
                <c:pt idx="14">
                  <c:v>42767</c:v>
                </c:pt>
                <c:pt idx="15">
                  <c:v>42795</c:v>
                </c:pt>
                <c:pt idx="16">
                  <c:v>42826</c:v>
                </c:pt>
                <c:pt idx="17">
                  <c:v>42856</c:v>
                </c:pt>
                <c:pt idx="18">
                  <c:v>42887</c:v>
                </c:pt>
                <c:pt idx="19">
                  <c:v>42917</c:v>
                </c:pt>
                <c:pt idx="20">
                  <c:v>42948</c:v>
                </c:pt>
                <c:pt idx="21">
                  <c:v>42979</c:v>
                </c:pt>
                <c:pt idx="22">
                  <c:v>43009</c:v>
                </c:pt>
                <c:pt idx="23">
                  <c:v>43040</c:v>
                </c:pt>
                <c:pt idx="24">
                  <c:v>43070</c:v>
                </c:pt>
              </c:numCache>
            </c:numRef>
          </c:cat>
          <c:val>
            <c:numRef>
              <c:f>'Off-Channel Reservoir'!$AD$5:$AD$29</c:f>
              <c:numCache>
                <c:formatCode>#,##0</c:formatCode>
                <c:ptCount val="25"/>
                <c:pt idx="0">
                  <c:v>14000</c:v>
                </c:pt>
                <c:pt idx="1">
                  <c:v>14000</c:v>
                </c:pt>
                <c:pt idx="2">
                  <c:v>14000</c:v>
                </c:pt>
                <c:pt idx="3">
                  <c:v>14000</c:v>
                </c:pt>
                <c:pt idx="4">
                  <c:v>14000</c:v>
                </c:pt>
                <c:pt idx="5">
                  <c:v>14000</c:v>
                </c:pt>
                <c:pt idx="6">
                  <c:v>14000</c:v>
                </c:pt>
                <c:pt idx="7">
                  <c:v>14000</c:v>
                </c:pt>
                <c:pt idx="8">
                  <c:v>14000</c:v>
                </c:pt>
                <c:pt idx="9">
                  <c:v>14000</c:v>
                </c:pt>
                <c:pt idx="10">
                  <c:v>14000</c:v>
                </c:pt>
                <c:pt idx="11">
                  <c:v>14000</c:v>
                </c:pt>
                <c:pt idx="12">
                  <c:v>14000</c:v>
                </c:pt>
                <c:pt idx="13">
                  <c:v>14000</c:v>
                </c:pt>
                <c:pt idx="14">
                  <c:v>14000</c:v>
                </c:pt>
                <c:pt idx="15">
                  <c:v>14000</c:v>
                </c:pt>
                <c:pt idx="16">
                  <c:v>14000</c:v>
                </c:pt>
                <c:pt idx="17">
                  <c:v>14000</c:v>
                </c:pt>
                <c:pt idx="18">
                  <c:v>14000</c:v>
                </c:pt>
                <c:pt idx="19">
                  <c:v>14000</c:v>
                </c:pt>
                <c:pt idx="20">
                  <c:v>14000</c:v>
                </c:pt>
                <c:pt idx="21">
                  <c:v>14000</c:v>
                </c:pt>
                <c:pt idx="22">
                  <c:v>14000</c:v>
                </c:pt>
                <c:pt idx="23">
                  <c:v>14000</c:v>
                </c:pt>
                <c:pt idx="24">
                  <c:v>14000</c:v>
                </c:pt>
              </c:numCache>
            </c:numRef>
          </c:val>
          <c:smooth val="0"/>
        </c:ser>
        <c:ser>
          <c:idx val="3"/>
          <c:order val="2"/>
          <c:tx>
            <c:strRef>
              <c:f>'Off-Channel Reservoir'!$AE$4</c:f>
              <c:strCache>
                <c:ptCount val="1"/>
                <c:pt idx="0">
                  <c:v>At-Risk Storage</c:v>
                </c:pt>
              </c:strCache>
            </c:strRef>
          </c:tx>
          <c:spPr>
            <a:ln w="25400">
              <a:solidFill>
                <a:srgbClr val="FF0000"/>
              </a:solidFill>
              <a:prstDash val="dash"/>
            </a:ln>
          </c:spPr>
          <c:marker>
            <c:symbol val="none"/>
          </c:marker>
          <c:cat>
            <c:numRef>
              <c:f>'Off-Channel Reservoir'!$AC$5:$AC$29</c:f>
              <c:numCache>
                <c:formatCode>m/d/yyyy</c:formatCode>
                <c:ptCount val="25"/>
                <c:pt idx="0">
                  <c:v>42339</c:v>
                </c:pt>
                <c:pt idx="1">
                  <c:v>42370</c:v>
                </c:pt>
                <c:pt idx="2">
                  <c:v>42401</c:v>
                </c:pt>
                <c:pt idx="3">
                  <c:v>42430</c:v>
                </c:pt>
                <c:pt idx="4">
                  <c:v>42461</c:v>
                </c:pt>
                <c:pt idx="5">
                  <c:v>42491</c:v>
                </c:pt>
                <c:pt idx="6">
                  <c:v>42522</c:v>
                </c:pt>
                <c:pt idx="7">
                  <c:v>42552</c:v>
                </c:pt>
                <c:pt idx="8">
                  <c:v>42583</c:v>
                </c:pt>
                <c:pt idx="9">
                  <c:v>42614</c:v>
                </c:pt>
                <c:pt idx="10">
                  <c:v>42644</c:v>
                </c:pt>
                <c:pt idx="11">
                  <c:v>42675</c:v>
                </c:pt>
                <c:pt idx="12">
                  <c:v>42705</c:v>
                </c:pt>
                <c:pt idx="13">
                  <c:v>42736</c:v>
                </c:pt>
                <c:pt idx="14">
                  <c:v>42767</c:v>
                </c:pt>
                <c:pt idx="15">
                  <c:v>42795</c:v>
                </c:pt>
                <c:pt idx="16">
                  <c:v>42826</c:v>
                </c:pt>
                <c:pt idx="17">
                  <c:v>42856</c:v>
                </c:pt>
                <c:pt idx="18">
                  <c:v>42887</c:v>
                </c:pt>
                <c:pt idx="19">
                  <c:v>42917</c:v>
                </c:pt>
                <c:pt idx="20">
                  <c:v>42948</c:v>
                </c:pt>
                <c:pt idx="21">
                  <c:v>42979</c:v>
                </c:pt>
                <c:pt idx="22">
                  <c:v>43009</c:v>
                </c:pt>
                <c:pt idx="23">
                  <c:v>43040</c:v>
                </c:pt>
                <c:pt idx="24">
                  <c:v>43070</c:v>
                </c:pt>
              </c:numCache>
            </c:numRef>
          </c:cat>
          <c:val>
            <c:numRef>
              <c:f>'Off-Channel Reservoir'!$AE$5:$AE$29</c:f>
              <c:numCache>
                <c:formatCode>#,##0</c:formatCode>
                <c:ptCount val="25"/>
                <c:pt idx="0">
                  <c:v>7000</c:v>
                </c:pt>
                <c:pt idx="1">
                  <c:v>7000</c:v>
                </c:pt>
                <c:pt idx="2">
                  <c:v>7000</c:v>
                </c:pt>
                <c:pt idx="3">
                  <c:v>7000</c:v>
                </c:pt>
                <c:pt idx="4">
                  <c:v>7000</c:v>
                </c:pt>
                <c:pt idx="5">
                  <c:v>7000</c:v>
                </c:pt>
                <c:pt idx="6">
                  <c:v>7000</c:v>
                </c:pt>
                <c:pt idx="7">
                  <c:v>7000</c:v>
                </c:pt>
                <c:pt idx="8">
                  <c:v>7000</c:v>
                </c:pt>
                <c:pt idx="9">
                  <c:v>7000</c:v>
                </c:pt>
                <c:pt idx="10">
                  <c:v>7000</c:v>
                </c:pt>
                <c:pt idx="11">
                  <c:v>7000</c:v>
                </c:pt>
                <c:pt idx="12">
                  <c:v>7000</c:v>
                </c:pt>
                <c:pt idx="13">
                  <c:v>7000</c:v>
                </c:pt>
                <c:pt idx="14">
                  <c:v>7000</c:v>
                </c:pt>
                <c:pt idx="15">
                  <c:v>7000</c:v>
                </c:pt>
                <c:pt idx="16">
                  <c:v>7000</c:v>
                </c:pt>
                <c:pt idx="17">
                  <c:v>7000</c:v>
                </c:pt>
                <c:pt idx="18">
                  <c:v>7000</c:v>
                </c:pt>
                <c:pt idx="19">
                  <c:v>7000</c:v>
                </c:pt>
                <c:pt idx="20">
                  <c:v>7000</c:v>
                </c:pt>
                <c:pt idx="21">
                  <c:v>7000</c:v>
                </c:pt>
                <c:pt idx="22">
                  <c:v>7000</c:v>
                </c:pt>
                <c:pt idx="23">
                  <c:v>7000</c:v>
                </c:pt>
                <c:pt idx="24">
                  <c:v>7000</c:v>
                </c:pt>
              </c:numCache>
            </c:numRef>
          </c:val>
          <c:smooth val="0"/>
        </c:ser>
        <c:dLbls>
          <c:showLegendKey val="0"/>
          <c:showVal val="0"/>
          <c:showCatName val="0"/>
          <c:showSerName val="0"/>
          <c:showPercent val="0"/>
          <c:showBubbleSize val="0"/>
        </c:dLbls>
        <c:smooth val="0"/>
        <c:axId val="422250664"/>
        <c:axId val="422251056"/>
      </c:lineChart>
      <c:dateAx>
        <c:axId val="422250664"/>
        <c:scaling>
          <c:orientation val="minMax"/>
        </c:scaling>
        <c:delete val="0"/>
        <c:axPos val="b"/>
        <c:numFmt formatCode="m/d/yyyy" sourceLinked="1"/>
        <c:majorTickMark val="none"/>
        <c:minorTickMark val="none"/>
        <c:tickLblPos val="nextTo"/>
        <c:crossAx val="422251056"/>
        <c:crosses val="autoZero"/>
        <c:auto val="1"/>
        <c:lblOffset val="100"/>
        <c:baseTimeUnit val="months"/>
      </c:dateAx>
      <c:valAx>
        <c:axId val="422251056"/>
        <c:scaling>
          <c:orientation val="minMax"/>
          <c:min val="0"/>
        </c:scaling>
        <c:delete val="0"/>
        <c:axPos val="l"/>
        <c:majorGridlines/>
        <c:title>
          <c:tx>
            <c:rich>
              <a:bodyPr/>
              <a:lstStyle/>
              <a:p>
                <a:pPr>
                  <a:defRPr/>
                </a:pPr>
                <a:r>
                  <a:rPr lang="en-US"/>
                  <a:t>Acre-feet</a:t>
                </a:r>
              </a:p>
            </c:rich>
          </c:tx>
          <c:overlay val="0"/>
        </c:title>
        <c:numFmt formatCode="#,##0" sourceLinked="1"/>
        <c:majorTickMark val="none"/>
        <c:minorTickMark val="none"/>
        <c:tickLblPos val="nextTo"/>
        <c:crossAx val="422250664"/>
        <c:crosses val="autoZero"/>
        <c:crossBetween val="between"/>
      </c:valAx>
    </c:plotArea>
    <c:legend>
      <c:legendPos val="r"/>
      <c:overlay val="0"/>
    </c:legend>
    <c:plotVisOnly val="1"/>
    <c:dispBlanksAs val="gap"/>
    <c:showDLblsOverMax val="0"/>
  </c:chart>
  <c:spPr>
    <a:ln w="6350">
      <a:solidFill>
        <a:schemeClr val="tx1"/>
      </a:solidFill>
    </a:ln>
  </c:spPr>
  <c:printSettings>
    <c:headerFooter/>
    <c:pageMargins b="0.75" l="0.7" r="0.7" t="0.75" header="0.3" footer="0.3"/>
    <c:pageSetup orientation="portrait"/>
  </c:printSettings>
  <c:userShapes r:id="rId1"/>
</c:chartSpace>
</file>

<file path=xl/ctrlProps/ctrlProp1.xml><?xml version="1.0" encoding="utf-8"?>
<formControlPr xmlns="http://schemas.microsoft.com/office/spreadsheetml/2009/9/main" objectType="Radio" checked="Checked" firstButton="1" fmlaLink="$AN$4"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85724</xdr:colOff>
      <xdr:row>12</xdr:row>
      <xdr:rowOff>142875</xdr:rowOff>
    </xdr:from>
    <xdr:to>
      <xdr:col>13</xdr:col>
      <xdr:colOff>161925</xdr:colOff>
      <xdr:row>20</xdr:row>
      <xdr:rowOff>19050</xdr:rowOff>
    </xdr:to>
    <xdr:sp macro="" textlink="">
      <xdr:nvSpPr>
        <xdr:cNvPr id="9" name="Rounded Rectangle 8"/>
        <xdr:cNvSpPr/>
      </xdr:nvSpPr>
      <xdr:spPr>
        <a:xfrm>
          <a:off x="6381749" y="4572000"/>
          <a:ext cx="1295401" cy="1676400"/>
        </a:xfrm>
        <a:prstGeom prst="roundRect">
          <a:avLst>
            <a:gd name="adj" fmla="val 6452"/>
          </a:avLst>
        </a:prstGeom>
        <a:solidFill>
          <a:srgbClr val="FFFF99"/>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u="none"/>
            <a:t>Click on the icon at right for a detailed description of the water supply prediction methodology used in this tool.</a:t>
          </a:r>
        </a:p>
      </xdr:txBody>
    </xdr:sp>
    <xdr:clientData/>
  </xdr:twoCellAnchor>
  <xdr:twoCellAnchor>
    <xdr:from>
      <xdr:col>1</xdr:col>
      <xdr:colOff>19050</xdr:colOff>
      <xdr:row>9</xdr:row>
      <xdr:rowOff>28575</xdr:rowOff>
    </xdr:from>
    <xdr:to>
      <xdr:col>15</xdr:col>
      <xdr:colOff>95250</xdr:colOff>
      <xdr:row>9</xdr:row>
      <xdr:rowOff>28575</xdr:rowOff>
    </xdr:to>
    <xdr:cxnSp macro="">
      <xdr:nvCxnSpPr>
        <xdr:cNvPr id="2" name="Straight Connector 1"/>
        <xdr:cNvCxnSpPr/>
      </xdr:nvCxnSpPr>
      <xdr:spPr>
        <a:xfrm>
          <a:off x="276225" y="2505075"/>
          <a:ext cx="9220200" cy="0"/>
        </a:xfrm>
        <a:prstGeom prst="line">
          <a:avLst/>
        </a:prstGeom>
        <a:ln w="28575" cmpd="dbl">
          <a:solidFill>
            <a:srgbClr val="5B6770"/>
          </a:solidFill>
        </a:ln>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66674</xdr:colOff>
      <xdr:row>10</xdr:row>
      <xdr:rowOff>85725</xdr:rowOff>
    </xdr:from>
    <xdr:to>
      <xdr:col>15</xdr:col>
      <xdr:colOff>111125</xdr:colOff>
      <xdr:row>12</xdr:row>
      <xdr:rowOff>0</xdr:rowOff>
    </xdr:to>
    <xdr:sp macro="" textlink="">
      <xdr:nvSpPr>
        <xdr:cNvPr id="3" name="Rounded Rectangle 2"/>
        <xdr:cNvSpPr/>
      </xdr:nvSpPr>
      <xdr:spPr>
        <a:xfrm>
          <a:off x="6362699" y="2619375"/>
          <a:ext cx="2482851" cy="1838325"/>
        </a:xfrm>
        <a:prstGeom prst="roundRect">
          <a:avLst>
            <a:gd name="adj" fmla="val 6452"/>
          </a:avLst>
        </a:prstGeom>
        <a:solidFill>
          <a:srgbClr val="FFFF99"/>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b="1" u="sng"/>
            <a:t>Please read</a:t>
          </a:r>
          <a:r>
            <a:rPr lang="en-US" sz="1100" b="1" u="sng" baseline="0"/>
            <a:t> b</a:t>
          </a:r>
          <a:r>
            <a:rPr lang="en-US" sz="1100" b="1" u="sng"/>
            <a:t>efore using the model:</a:t>
          </a:r>
        </a:p>
        <a:p>
          <a:pPr algn="ctr"/>
          <a:r>
            <a:rPr lang="en-US" sz="1100" u="none"/>
            <a:t>Prediction</a:t>
          </a:r>
          <a:r>
            <a:rPr lang="en-US" sz="1100" u="none" baseline="0"/>
            <a:t> of drought risk is an inexact science with current knowledge and understanding. Communications should be begun with at risk generators as soon as possible to determine if there are mitigating circumstances which could alter the inputs for the prediction.  </a:t>
          </a:r>
          <a:endParaRPr lang="en-US" sz="1100" u="none"/>
        </a:p>
      </xdr:txBody>
    </xdr:sp>
    <xdr:clientData/>
  </xdr:twoCellAnchor>
  <xdr:twoCellAnchor>
    <xdr:from>
      <xdr:col>1</xdr:col>
      <xdr:colOff>0</xdr:colOff>
      <xdr:row>23</xdr:row>
      <xdr:rowOff>1</xdr:rowOff>
    </xdr:from>
    <xdr:to>
      <xdr:col>1</xdr:col>
      <xdr:colOff>571500</xdr:colOff>
      <xdr:row>24</xdr:row>
      <xdr:rowOff>19050</xdr:rowOff>
    </xdr:to>
    <xdr:sp macro="" textlink="">
      <xdr:nvSpPr>
        <xdr:cNvPr id="7" name="Rounded Rectangle 6"/>
        <xdr:cNvSpPr/>
      </xdr:nvSpPr>
      <xdr:spPr>
        <a:xfrm>
          <a:off x="781049" y="7419976"/>
          <a:ext cx="600076" cy="428624"/>
        </a:xfrm>
        <a:prstGeom prst="roundRect">
          <a:avLst>
            <a:gd name="adj" fmla="val 6452"/>
          </a:avLst>
        </a:prstGeom>
        <a:solidFill>
          <a:srgbClr val="FFFF99"/>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lIns="0" rIns="0" rtlCol="0" anchor="ctr"/>
        <a:lstStyle/>
        <a:p>
          <a:pPr algn="ctr"/>
          <a:r>
            <a:rPr lang="en-US" sz="1000" b="1" u="none"/>
            <a:t>User tips</a:t>
          </a:r>
          <a:r>
            <a:rPr lang="en-US" sz="1000" u="none" baseline="0"/>
            <a:t>...</a:t>
          </a:r>
          <a:endParaRPr lang="en-US" sz="1000" u="none"/>
        </a:p>
      </xdr:txBody>
    </xdr:sp>
    <xdr:clientData/>
  </xdr:twoCellAnchor>
  <xdr:oneCellAnchor>
    <xdr:from>
      <xdr:col>3</xdr:col>
      <xdr:colOff>481101</xdr:colOff>
      <xdr:row>1</xdr:row>
      <xdr:rowOff>88398</xdr:rowOff>
    </xdr:from>
    <xdr:ext cx="4638514" cy="468013"/>
    <xdr:sp macro="" textlink="">
      <xdr:nvSpPr>
        <xdr:cNvPr id="12" name="Rectangle 11"/>
        <xdr:cNvSpPr/>
      </xdr:nvSpPr>
      <xdr:spPr>
        <a:xfrm>
          <a:off x="2509926" y="469398"/>
          <a:ext cx="4638514" cy="468013"/>
        </a:xfrm>
        <a:prstGeom prst="rect">
          <a:avLst/>
        </a:prstGeom>
        <a:noFill/>
      </xdr:spPr>
      <xdr:txBody>
        <a:bodyPr wrap="none" lIns="91440" tIns="45720" rIns="91440" bIns="45720">
          <a:spAutoFit/>
        </a:bodyPr>
        <a:lstStyle/>
        <a:p>
          <a:pPr algn="ctr"/>
          <a:r>
            <a:rPr lang="en-US" sz="2400" b="1" cap="none" spc="0">
              <a:ln w="10541" cmpd="sng">
                <a:solidFill>
                  <a:srgbClr val="00AEC7"/>
                </a:solidFill>
                <a:prstDash val="solid"/>
              </a:ln>
              <a:solidFill>
                <a:srgbClr val="00AEC7"/>
              </a:solidFill>
              <a:effectLst/>
            </a:rPr>
            <a:t>Electric</a:t>
          </a:r>
          <a:r>
            <a:rPr lang="en-US" sz="2400" b="1" cap="none" spc="0" baseline="0">
              <a:ln w="10541" cmpd="sng">
                <a:solidFill>
                  <a:srgbClr val="00AEC7"/>
                </a:solidFill>
                <a:prstDash val="solid"/>
              </a:ln>
              <a:solidFill>
                <a:srgbClr val="00AEC7"/>
              </a:solidFill>
              <a:effectLst/>
            </a:rPr>
            <a:t> Reliability Council of Texas</a:t>
          </a:r>
          <a:endParaRPr lang="en-US" sz="2400" b="1" cap="none" spc="0">
            <a:ln w="10541" cmpd="sng">
              <a:solidFill>
                <a:srgbClr val="00AEC7"/>
              </a:solidFill>
              <a:prstDash val="solid"/>
            </a:ln>
            <a:solidFill>
              <a:srgbClr val="00AEC7"/>
            </a:solidFill>
            <a:effectLst/>
          </a:endParaRPr>
        </a:p>
      </xdr:txBody>
    </xdr:sp>
    <xdr:clientData/>
  </xdr:oneCellAnchor>
  <xdr:twoCellAnchor editAs="oneCell">
    <xdr:from>
      <xdr:col>1</xdr:col>
      <xdr:colOff>104775</xdr:colOff>
      <xdr:row>1</xdr:row>
      <xdr:rowOff>152400</xdr:rowOff>
    </xdr:from>
    <xdr:to>
      <xdr:col>2</xdr:col>
      <xdr:colOff>504190</xdr:colOff>
      <xdr:row>3</xdr:row>
      <xdr:rowOff>161925</xdr:rowOff>
    </xdr:to>
    <xdr:pic>
      <xdr:nvPicPr>
        <xdr:cNvPr id="15" name="Picture 14"/>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323975" y="533400"/>
          <a:ext cx="1009015" cy="3905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13</xdr:col>
          <xdr:colOff>304800</xdr:colOff>
          <xdr:row>12</xdr:row>
          <xdr:rowOff>171450</xdr:rowOff>
        </xdr:from>
        <xdr:to>
          <xdr:col>15</xdr:col>
          <xdr:colOff>0</xdr:colOff>
          <xdr:row>16</xdr:row>
          <xdr:rowOff>28575</xdr:rowOff>
        </xdr:to>
        <xdr:sp macro="" textlink="">
          <xdr:nvSpPr>
            <xdr:cNvPr id="4104" name="Object 8" hidden="1">
              <a:extLst>
                <a:ext uri="{63B3BB69-23CF-44E3-9099-C40C66FF867C}">
                  <a14:compatExt spid="_x0000_s410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104775</xdr:colOff>
      <xdr:row>36</xdr:row>
      <xdr:rowOff>178594</xdr:rowOff>
    </xdr:from>
    <xdr:to>
      <xdr:col>19</xdr:col>
      <xdr:colOff>857250</xdr:colOff>
      <xdr:row>55</xdr:row>
      <xdr:rowOff>42862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104774</xdr:colOff>
      <xdr:row>1</xdr:row>
      <xdr:rowOff>214312</xdr:rowOff>
    </xdr:from>
    <xdr:to>
      <xdr:col>15</xdr:col>
      <xdr:colOff>440532</xdr:colOff>
      <xdr:row>35</xdr:row>
      <xdr:rowOff>238124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273844</xdr:colOff>
      <xdr:row>196</xdr:row>
      <xdr:rowOff>142876</xdr:rowOff>
    </xdr:from>
    <xdr:to>
      <xdr:col>21</xdr:col>
      <xdr:colOff>2181226</xdr:colOff>
      <xdr:row>203</xdr:row>
      <xdr:rowOff>16669</xdr:rowOff>
    </xdr:to>
    <xdr:sp macro="" textlink="">
      <xdr:nvSpPr>
        <xdr:cNvPr id="4" name="Rounded Rectangle 3"/>
        <xdr:cNvSpPr/>
      </xdr:nvSpPr>
      <xdr:spPr>
        <a:xfrm>
          <a:off x="13787438" y="41505189"/>
          <a:ext cx="2216944" cy="1207293"/>
        </a:xfrm>
        <a:prstGeom prst="roundRect">
          <a:avLst>
            <a:gd name="adj" fmla="val 6452"/>
          </a:avLst>
        </a:prstGeom>
        <a:solidFill>
          <a:srgbClr val="FFFF99"/>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lIns="0" rIns="0" rtlCol="0" anchor="ctr"/>
        <a:lstStyle/>
        <a:p>
          <a:pPr algn="ctr"/>
          <a:r>
            <a:rPr lang="en-US" sz="1100" u="none"/>
            <a:t>Access the  reservoir elevation from the  appropriate</a:t>
          </a:r>
          <a:r>
            <a:rPr lang="en-US" sz="1100" u="none" baseline="0"/>
            <a:t> source</a:t>
          </a:r>
          <a:r>
            <a:rPr lang="en-US" sz="1100" u="none"/>
            <a:t>. Record the level  (in feet) for the first of the month and input it  into the relevant</a:t>
          </a:r>
          <a:r>
            <a:rPr lang="en-US" sz="1100" u="none" baseline="0"/>
            <a:t> box  in column Y</a:t>
          </a:r>
          <a:endParaRPr lang="en-US" sz="1100" u="none"/>
        </a:p>
      </xdr:txBody>
    </xdr:sp>
    <xdr:clientData/>
  </xdr:twoCellAnchor>
  <xdr:twoCellAnchor>
    <xdr:from>
      <xdr:col>21</xdr:col>
      <xdr:colOff>2181226</xdr:colOff>
      <xdr:row>198</xdr:row>
      <xdr:rowOff>107156</xdr:rowOff>
    </xdr:from>
    <xdr:to>
      <xdr:col>24</xdr:col>
      <xdr:colOff>392906</xdr:colOff>
      <xdr:row>199</xdr:row>
      <xdr:rowOff>175023</xdr:rowOff>
    </xdr:to>
    <xdr:cxnSp macro="">
      <xdr:nvCxnSpPr>
        <xdr:cNvPr id="6" name="Straight Arrow Connector 5"/>
        <xdr:cNvCxnSpPr>
          <a:stCxn id="4" idx="3"/>
        </xdr:cNvCxnSpPr>
      </xdr:nvCxnSpPr>
      <xdr:spPr>
        <a:xfrm flipV="1">
          <a:off x="16004382" y="41850469"/>
          <a:ext cx="2426493" cy="258367"/>
        </a:xfrm>
        <a:prstGeom prst="straightConnector1">
          <a:avLst/>
        </a:prstGeom>
        <a:ln w="15875">
          <a:solidFill>
            <a:srgbClr val="FF0000"/>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309562</xdr:colOff>
      <xdr:row>0</xdr:row>
      <xdr:rowOff>154779</xdr:rowOff>
    </xdr:from>
    <xdr:to>
      <xdr:col>74</xdr:col>
      <xdr:colOff>476251</xdr:colOff>
      <xdr:row>7</xdr:row>
      <xdr:rowOff>178593</xdr:rowOff>
    </xdr:to>
    <xdr:sp macro="" textlink="">
      <xdr:nvSpPr>
        <xdr:cNvPr id="9" name="Rounded Rectangle 8"/>
        <xdr:cNvSpPr/>
      </xdr:nvSpPr>
      <xdr:spPr>
        <a:xfrm>
          <a:off x="49291875" y="154779"/>
          <a:ext cx="1381126" cy="1488283"/>
        </a:xfrm>
        <a:prstGeom prst="roundRect">
          <a:avLst>
            <a:gd name="adj" fmla="val 6452"/>
          </a:avLst>
        </a:prstGeom>
        <a:solidFill>
          <a:srgbClr val="FFFF99"/>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lIns="0" rIns="0" rtlCol="0" anchor="ctr"/>
        <a:lstStyle/>
        <a:p>
          <a:pPr algn="ctr"/>
          <a:r>
            <a:rPr lang="en-US" sz="1100" u="none"/>
            <a:t>Lookup table for storage volume. This table should not be altered except if there is a change in the bathymetry</a:t>
          </a:r>
          <a:r>
            <a:rPr lang="en-US" sz="1100" u="none" baseline="0"/>
            <a:t> of the lake.</a:t>
          </a:r>
          <a:endParaRPr lang="en-US" sz="1100" u="none"/>
        </a:p>
      </xdr:txBody>
    </xdr:sp>
    <xdr:clientData/>
  </xdr:twoCellAnchor>
  <xdr:twoCellAnchor>
    <xdr:from>
      <xdr:col>41</xdr:col>
      <xdr:colOff>154783</xdr:colOff>
      <xdr:row>18</xdr:row>
      <xdr:rowOff>47624</xdr:rowOff>
    </xdr:from>
    <xdr:to>
      <xdr:col>41</xdr:col>
      <xdr:colOff>1952627</xdr:colOff>
      <xdr:row>38</xdr:row>
      <xdr:rowOff>83342</xdr:rowOff>
    </xdr:to>
    <xdr:sp macro="" textlink="">
      <xdr:nvSpPr>
        <xdr:cNvPr id="11" name="Rounded Rectangle 10"/>
        <xdr:cNvSpPr/>
      </xdr:nvSpPr>
      <xdr:spPr>
        <a:xfrm>
          <a:off x="28825033" y="3655218"/>
          <a:ext cx="1797844" cy="4024312"/>
        </a:xfrm>
        <a:prstGeom prst="roundRect">
          <a:avLst>
            <a:gd name="adj" fmla="val 6452"/>
          </a:avLst>
        </a:prstGeom>
        <a:solidFill>
          <a:srgbClr val="FFFF99"/>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lIns="0" rIns="0" rtlCol="0" anchor="ctr"/>
        <a:lstStyle/>
        <a:p>
          <a:pPr algn="ctr"/>
          <a:r>
            <a:rPr lang="en-US" sz="1100" u="none"/>
            <a:t>This table calculates</a:t>
          </a:r>
          <a:r>
            <a:rPr lang="en-US" sz="1100" u="none" baseline="0"/>
            <a:t> statistics based on historical monthly changes in storage for the reservoir. </a:t>
          </a:r>
        </a:p>
        <a:p>
          <a:pPr algn="ctr"/>
          <a:endParaRPr lang="en-US" sz="1100" u="none" baseline="0"/>
        </a:p>
        <a:p>
          <a:pPr algn="ctr"/>
          <a:r>
            <a:rPr lang="en-US" sz="1100" u="none" baseline="0"/>
            <a:t>The drought fit (column AX) is based on the 30th percentile, with modifications as necessary (e.g., to remove anomolies or values &gt; 0) described in the table below. </a:t>
          </a:r>
        </a:p>
        <a:p>
          <a:pPr algn="ctr"/>
          <a:endParaRPr lang="en-US" sz="1100" u="none" baseline="0"/>
        </a:p>
        <a:p>
          <a:pPr algn="ctr"/>
          <a:r>
            <a:rPr lang="en-US" sz="1100" u="none" baseline="0"/>
            <a:t>Column AY and the chart at right provide a basic check on the reasonableness of the drought fit. </a:t>
          </a:r>
        </a:p>
        <a:p>
          <a:pPr algn="ctr"/>
          <a:endParaRPr lang="en-US" sz="1100" u="none" baseline="0"/>
        </a:p>
        <a:p>
          <a:pPr algn="ctr"/>
          <a:r>
            <a:rPr lang="en-US" sz="1100" u="none" baseline="0"/>
            <a:t>The information in the average, min, and drought fit columns are the basis for future predictions in the table at left. </a:t>
          </a:r>
        </a:p>
      </xdr:txBody>
    </xdr:sp>
    <xdr:clientData/>
  </xdr:twoCellAnchor>
  <xdr:twoCellAnchor>
    <xdr:from>
      <xdr:col>21</xdr:col>
      <xdr:colOff>2181226</xdr:colOff>
      <xdr:row>199</xdr:row>
      <xdr:rowOff>83343</xdr:rowOff>
    </xdr:from>
    <xdr:to>
      <xdr:col>24</xdr:col>
      <xdr:colOff>523875</xdr:colOff>
      <xdr:row>199</xdr:row>
      <xdr:rowOff>175023</xdr:rowOff>
    </xdr:to>
    <xdr:cxnSp macro="">
      <xdr:nvCxnSpPr>
        <xdr:cNvPr id="14" name="Straight Arrow Connector 13"/>
        <xdr:cNvCxnSpPr>
          <a:stCxn id="4" idx="3"/>
        </xdr:cNvCxnSpPr>
      </xdr:nvCxnSpPr>
      <xdr:spPr>
        <a:xfrm flipV="1">
          <a:off x="16004382" y="42017156"/>
          <a:ext cx="2557462" cy="91680"/>
        </a:xfrm>
        <a:prstGeom prst="straightConnector1">
          <a:avLst/>
        </a:prstGeom>
        <a:ln w="15875">
          <a:solidFill>
            <a:srgbClr val="FF0000"/>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2181226</xdr:colOff>
      <xdr:row>199</xdr:row>
      <xdr:rowOff>175023</xdr:rowOff>
    </xdr:from>
    <xdr:to>
      <xdr:col>24</xdr:col>
      <xdr:colOff>452437</xdr:colOff>
      <xdr:row>200</xdr:row>
      <xdr:rowOff>107156</xdr:rowOff>
    </xdr:to>
    <xdr:cxnSp macro="">
      <xdr:nvCxnSpPr>
        <xdr:cNvPr id="15" name="Straight Arrow Connector 14"/>
        <xdr:cNvCxnSpPr>
          <a:stCxn id="4" idx="3"/>
        </xdr:cNvCxnSpPr>
      </xdr:nvCxnSpPr>
      <xdr:spPr>
        <a:xfrm>
          <a:off x="16004382" y="42108836"/>
          <a:ext cx="2486024" cy="122633"/>
        </a:xfrm>
        <a:prstGeom prst="straightConnector1">
          <a:avLst/>
        </a:prstGeom>
        <a:ln w="15875">
          <a:solidFill>
            <a:srgbClr val="FF0000"/>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17</xdr:col>
          <xdr:colOff>0</xdr:colOff>
          <xdr:row>24</xdr:row>
          <xdr:rowOff>180975</xdr:rowOff>
        </xdr:from>
        <xdr:to>
          <xdr:col>18</xdr:col>
          <xdr:colOff>0</xdr:colOff>
          <xdr:row>26</xdr:row>
          <xdr:rowOff>38100</xdr:rowOff>
        </xdr:to>
        <xdr:sp macro="" textlink="">
          <xdr:nvSpPr>
            <xdr:cNvPr id="2049" name="Option Button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xdr:row>
          <xdr:rowOff>152400</xdr:rowOff>
        </xdr:from>
        <xdr:to>
          <xdr:col>18</xdr:col>
          <xdr:colOff>0</xdr:colOff>
          <xdr:row>27</xdr:row>
          <xdr:rowOff>38100</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171450</xdr:rowOff>
        </xdr:from>
        <xdr:to>
          <xdr:col>18</xdr:col>
          <xdr:colOff>0</xdr:colOff>
          <xdr:row>28</xdr:row>
          <xdr:rowOff>57150</xdr:rowOff>
        </xdr:to>
        <xdr:sp macro="" textlink="">
          <xdr:nvSpPr>
            <xdr:cNvPr id="2051" name="Option Button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190500</xdr:rowOff>
        </xdr:from>
        <xdr:to>
          <xdr:col>18</xdr:col>
          <xdr:colOff>0</xdr:colOff>
          <xdr:row>29</xdr:row>
          <xdr:rowOff>57150</xdr:rowOff>
        </xdr:to>
        <xdr:sp macro="" textlink="">
          <xdr:nvSpPr>
            <xdr:cNvPr id="2052" name="Option Button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180975</xdr:rowOff>
        </xdr:from>
        <xdr:to>
          <xdr:col>18</xdr:col>
          <xdr:colOff>0</xdr:colOff>
          <xdr:row>30</xdr:row>
          <xdr:rowOff>47625</xdr:rowOff>
        </xdr:to>
        <xdr:sp macro="" textlink="">
          <xdr:nvSpPr>
            <xdr:cNvPr id="2053" name="Option Button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123825</xdr:rowOff>
        </xdr:from>
        <xdr:to>
          <xdr:col>18</xdr:col>
          <xdr:colOff>47625</xdr:colOff>
          <xdr:row>37</xdr:row>
          <xdr:rowOff>95250</xdr:rowOff>
        </xdr:to>
        <xdr:sp macro="" textlink="">
          <xdr:nvSpPr>
            <xdr:cNvPr id="2054" name="Group Box 6" hidden="1">
              <a:extLst>
                <a:ext uri="{63B3BB69-23CF-44E3-9099-C40C66FF867C}">
                  <a14:compatExt spid="_x0000_s20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15</a:t>
              </a:r>
            </a:p>
          </xdr:txBody>
        </xdr:sp>
        <xdr:clientData/>
      </xdr:twoCellAnchor>
    </mc:Choice>
    <mc:Fallback/>
  </mc:AlternateContent>
  <xdr:twoCellAnchor>
    <xdr:from>
      <xdr:col>18</xdr:col>
      <xdr:colOff>59529</xdr:colOff>
      <xdr:row>25</xdr:row>
      <xdr:rowOff>59530</xdr:rowOff>
    </xdr:from>
    <xdr:to>
      <xdr:col>19</xdr:col>
      <xdr:colOff>797718</xdr:colOff>
      <xdr:row>29</xdr:row>
      <xdr:rowOff>178593</xdr:rowOff>
    </xdr:to>
    <xdr:sp macro="" textlink="">
      <xdr:nvSpPr>
        <xdr:cNvPr id="22" name="Rounded Rectangle 21"/>
        <xdr:cNvSpPr/>
      </xdr:nvSpPr>
      <xdr:spPr>
        <a:xfrm>
          <a:off x="12108654" y="6403180"/>
          <a:ext cx="1366839" cy="919163"/>
        </a:xfrm>
        <a:prstGeom prst="roundRect">
          <a:avLst>
            <a:gd name="adj" fmla="val 6452"/>
          </a:avLst>
        </a:prstGeom>
        <a:solidFill>
          <a:srgbClr val="FFFF99"/>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lIns="0" rIns="0" rtlCol="0" anchor="ctr"/>
        <a:lstStyle/>
        <a:p>
          <a:pPr algn="ctr"/>
          <a:r>
            <a:rPr lang="en-US" sz="1100" u="none"/>
            <a:t>Choose the probability required using the relevant radio button. (low = dry, high = wet)</a:t>
          </a:r>
        </a:p>
      </xdr:txBody>
    </xdr:sp>
    <xdr:clientData/>
  </xdr:twoCellAnchor>
  <xdr:twoCellAnchor>
    <xdr:from>
      <xdr:col>52</xdr:col>
      <xdr:colOff>0</xdr:colOff>
      <xdr:row>17</xdr:row>
      <xdr:rowOff>0</xdr:rowOff>
    </xdr:from>
    <xdr:to>
      <xdr:col>67</xdr:col>
      <xdr:colOff>547689</xdr:colOff>
      <xdr:row>42</xdr:row>
      <xdr:rowOff>20240</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72</xdr:col>
      <xdr:colOff>11906</xdr:colOff>
      <xdr:row>1</xdr:row>
      <xdr:rowOff>83343</xdr:rowOff>
    </xdr:from>
    <xdr:to>
      <xdr:col>72</xdr:col>
      <xdr:colOff>309562</xdr:colOff>
      <xdr:row>4</xdr:row>
      <xdr:rowOff>41671</xdr:rowOff>
    </xdr:to>
    <xdr:cxnSp macro="">
      <xdr:nvCxnSpPr>
        <xdr:cNvPr id="38" name="Straight Arrow Connector 37"/>
        <xdr:cNvCxnSpPr>
          <a:stCxn id="9" idx="1"/>
        </xdr:cNvCxnSpPr>
      </xdr:nvCxnSpPr>
      <xdr:spPr>
        <a:xfrm flipH="1" flipV="1">
          <a:off x="48994219" y="285749"/>
          <a:ext cx="297656" cy="61317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21</xdr:col>
      <xdr:colOff>130967</xdr:colOff>
      <xdr:row>0</xdr:row>
      <xdr:rowOff>190499</xdr:rowOff>
    </xdr:from>
    <xdr:to>
      <xdr:col>21</xdr:col>
      <xdr:colOff>1893094</xdr:colOff>
      <xdr:row>9</xdr:row>
      <xdr:rowOff>95250</xdr:rowOff>
    </xdr:to>
    <xdr:sp macro="" textlink="">
      <xdr:nvSpPr>
        <xdr:cNvPr id="30" name="Rounded Rectangle 29"/>
        <xdr:cNvSpPr/>
      </xdr:nvSpPr>
      <xdr:spPr>
        <a:xfrm>
          <a:off x="13954123" y="190499"/>
          <a:ext cx="1762127" cy="1750220"/>
        </a:xfrm>
        <a:prstGeom prst="roundRect">
          <a:avLst>
            <a:gd name="adj" fmla="val 6452"/>
          </a:avLst>
        </a:prstGeom>
        <a:solidFill>
          <a:srgbClr val="FFFF99"/>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wrap="square" lIns="0" r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US" sz="1100" u="none"/>
            <a:t>This is the primary</a:t>
          </a:r>
          <a:r>
            <a:rPr lang="en-US" sz="1100" u="none" baseline="0"/>
            <a:t> output of the prediction spreadsheet, indicating the number of months before the reservoir becomes at risk. The green dot indicates the reservoir is not expected to become at risk for at least the next 18 months. </a:t>
          </a:r>
          <a:endParaRPr lang="en-US" sz="1100" u="none"/>
        </a:p>
      </xdr:txBody>
    </xdr:sp>
    <xdr:clientData/>
  </xdr:twoCellAnchor>
  <xdr:twoCellAnchor>
    <xdr:from>
      <xdr:col>19</xdr:col>
      <xdr:colOff>595313</xdr:colOff>
      <xdr:row>4</xdr:row>
      <xdr:rowOff>95251</xdr:rowOff>
    </xdr:from>
    <xdr:to>
      <xdr:col>21</xdr:col>
      <xdr:colOff>130967</xdr:colOff>
      <xdr:row>5</xdr:row>
      <xdr:rowOff>5953</xdr:rowOff>
    </xdr:to>
    <xdr:cxnSp macro="">
      <xdr:nvCxnSpPr>
        <xdr:cNvPr id="31" name="Straight Arrow Connector 30"/>
        <xdr:cNvCxnSpPr>
          <a:stCxn id="30" idx="1"/>
        </xdr:cNvCxnSpPr>
      </xdr:nvCxnSpPr>
      <xdr:spPr>
        <a:xfrm flipH="1" flipV="1">
          <a:off x="13239751" y="952501"/>
          <a:ext cx="714372" cy="11310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41</xdr:col>
      <xdr:colOff>1774031</xdr:colOff>
      <xdr:row>17</xdr:row>
      <xdr:rowOff>142876</xdr:rowOff>
    </xdr:from>
    <xdr:to>
      <xdr:col>42</xdr:col>
      <xdr:colOff>130968</xdr:colOff>
      <xdr:row>21</xdr:row>
      <xdr:rowOff>107156</xdr:rowOff>
    </xdr:to>
    <xdr:cxnSp macro="">
      <xdr:nvCxnSpPr>
        <xdr:cNvPr id="63" name="Straight Arrow Connector 62"/>
        <xdr:cNvCxnSpPr/>
      </xdr:nvCxnSpPr>
      <xdr:spPr>
        <a:xfrm flipV="1">
          <a:off x="30444281" y="3548064"/>
          <a:ext cx="571500" cy="76199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41</xdr:col>
      <xdr:colOff>1821656</xdr:colOff>
      <xdr:row>28</xdr:row>
      <xdr:rowOff>119062</xdr:rowOff>
    </xdr:from>
    <xdr:to>
      <xdr:col>43</xdr:col>
      <xdr:colOff>0</xdr:colOff>
      <xdr:row>32</xdr:row>
      <xdr:rowOff>178593</xdr:rowOff>
    </xdr:to>
    <xdr:cxnSp macro="">
      <xdr:nvCxnSpPr>
        <xdr:cNvPr id="67" name="Straight Arrow Connector 66"/>
        <xdr:cNvCxnSpPr/>
      </xdr:nvCxnSpPr>
      <xdr:spPr>
        <a:xfrm>
          <a:off x="30491906" y="5691187"/>
          <a:ext cx="571500" cy="845344"/>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34</xdr:col>
      <xdr:colOff>35719</xdr:colOff>
      <xdr:row>34</xdr:row>
      <xdr:rowOff>107156</xdr:rowOff>
    </xdr:from>
    <xdr:to>
      <xdr:col>41</xdr:col>
      <xdr:colOff>833437</xdr:colOff>
      <xdr:row>37</xdr:row>
      <xdr:rowOff>83344</xdr:rowOff>
    </xdr:to>
    <xdr:cxnSp macro="">
      <xdr:nvCxnSpPr>
        <xdr:cNvPr id="75" name="Straight Arrow Connector 74"/>
        <xdr:cNvCxnSpPr/>
      </xdr:nvCxnSpPr>
      <xdr:spPr>
        <a:xfrm flipH="1" flipV="1">
          <a:off x="25848469" y="6881812"/>
          <a:ext cx="3655218" cy="583407"/>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41</xdr:col>
      <xdr:colOff>164306</xdr:colOff>
      <xdr:row>1</xdr:row>
      <xdr:rowOff>45245</xdr:rowOff>
    </xdr:from>
    <xdr:to>
      <xdr:col>41</xdr:col>
      <xdr:colOff>1962150</xdr:colOff>
      <xdr:row>8</xdr:row>
      <xdr:rowOff>178593</xdr:rowOff>
    </xdr:to>
    <xdr:sp macro="" textlink="">
      <xdr:nvSpPr>
        <xdr:cNvPr id="82" name="Rounded Rectangle 81"/>
        <xdr:cNvSpPr/>
      </xdr:nvSpPr>
      <xdr:spPr>
        <a:xfrm>
          <a:off x="28834556" y="247651"/>
          <a:ext cx="1797844" cy="1585911"/>
        </a:xfrm>
        <a:prstGeom prst="roundRect">
          <a:avLst>
            <a:gd name="adj" fmla="val 6452"/>
          </a:avLst>
        </a:prstGeom>
        <a:solidFill>
          <a:srgbClr val="FFFF99"/>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lIns="0" rIns="0" rtlCol="0" anchor="ctr"/>
        <a:lstStyle/>
        <a:p>
          <a:pPr algn="ctr"/>
          <a:r>
            <a:rPr lang="en-US" sz="1100" u="none" baseline="0"/>
            <a:t>This table predicts future storage based on the most recent storage records (rows 5-7), and the profiles of montly changes estimated in the "Calculation of Drought Fit" table at right.</a:t>
          </a:r>
        </a:p>
      </xdr:txBody>
    </xdr:sp>
    <xdr:clientData/>
  </xdr:twoCellAnchor>
  <xdr:twoCellAnchor>
    <xdr:from>
      <xdr:col>37</xdr:col>
      <xdr:colOff>545307</xdr:colOff>
      <xdr:row>1</xdr:row>
      <xdr:rowOff>104776</xdr:rowOff>
    </xdr:from>
    <xdr:to>
      <xdr:col>41</xdr:col>
      <xdr:colOff>452437</xdr:colOff>
      <xdr:row>1</xdr:row>
      <xdr:rowOff>238125</xdr:rowOff>
    </xdr:to>
    <xdr:cxnSp macro="">
      <xdr:nvCxnSpPr>
        <xdr:cNvPr id="83" name="Straight Arrow Connector 82"/>
        <xdr:cNvCxnSpPr/>
      </xdr:nvCxnSpPr>
      <xdr:spPr>
        <a:xfrm flipH="1" flipV="1">
          <a:off x="28417838" y="307182"/>
          <a:ext cx="3240880" cy="133349"/>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41</xdr:col>
      <xdr:colOff>150019</xdr:colOff>
      <xdr:row>9</xdr:row>
      <xdr:rowOff>78583</xdr:rowOff>
    </xdr:from>
    <xdr:to>
      <xdr:col>41</xdr:col>
      <xdr:colOff>1947863</xdr:colOff>
      <xdr:row>17</xdr:row>
      <xdr:rowOff>104775</xdr:rowOff>
    </xdr:to>
    <xdr:sp macro="" textlink="">
      <xdr:nvSpPr>
        <xdr:cNvPr id="27" name="Rounded Rectangle 26"/>
        <xdr:cNvSpPr/>
      </xdr:nvSpPr>
      <xdr:spPr>
        <a:xfrm>
          <a:off x="28820269" y="1924052"/>
          <a:ext cx="1797844" cy="1585911"/>
        </a:xfrm>
        <a:prstGeom prst="roundRect">
          <a:avLst>
            <a:gd name="adj" fmla="val 6452"/>
          </a:avLst>
        </a:prstGeom>
        <a:solidFill>
          <a:srgbClr val="FFFF99"/>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lIns="0" rIns="0" rtlCol="0" anchor="ctr"/>
        <a:lstStyle/>
        <a:p>
          <a:pPr algn="ctr"/>
          <a:r>
            <a:rPr lang="en-US" sz="1100" u="none" baseline="0"/>
            <a:t>This table calculates percentiles based on the historical monthly changes in storage for the reservoir. These percentiles are used to calculate the "Probability Fit" based on user selections in cells R26:R30.</a:t>
          </a:r>
        </a:p>
      </xdr:txBody>
    </xdr:sp>
    <xdr:clientData/>
  </xdr:twoCellAnchor>
  <xdr:twoCellAnchor>
    <xdr:from>
      <xdr:col>41</xdr:col>
      <xdr:colOff>1714500</xdr:colOff>
      <xdr:row>4</xdr:row>
      <xdr:rowOff>95250</xdr:rowOff>
    </xdr:from>
    <xdr:to>
      <xdr:col>43</xdr:col>
      <xdr:colOff>178594</xdr:colOff>
      <xdr:row>10</xdr:row>
      <xdr:rowOff>119063</xdr:rowOff>
    </xdr:to>
    <xdr:cxnSp macro="">
      <xdr:nvCxnSpPr>
        <xdr:cNvPr id="32" name="Straight Arrow Connector 31"/>
        <xdr:cNvCxnSpPr/>
      </xdr:nvCxnSpPr>
      <xdr:spPr>
        <a:xfrm flipV="1">
          <a:off x="30384750" y="952500"/>
          <a:ext cx="857250" cy="1202532"/>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0.70313</cdr:x>
      <cdr:y>0.14885</cdr:y>
    </cdr:from>
    <cdr:to>
      <cdr:x>0.98542</cdr:x>
      <cdr:y>0.34066</cdr:y>
    </cdr:to>
    <cdr:sp macro="" textlink="">
      <cdr:nvSpPr>
        <cdr:cNvPr id="2" name="TextBox 1"/>
        <cdr:cNvSpPr txBox="1"/>
      </cdr:nvSpPr>
      <cdr:spPr>
        <a:xfrm xmlns:a="http://schemas.openxmlformats.org/drawingml/2006/main">
          <a:off x="6429375" y="709614"/>
          <a:ext cx="2581275"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0.82405</cdr:x>
      <cdr:y>0.02275</cdr:y>
    </cdr:from>
    <cdr:to>
      <cdr:x>0.99067</cdr:x>
      <cdr:y>0.26076</cdr:y>
    </cdr:to>
    <cdr:sp macro="" textlink="">
      <cdr:nvSpPr>
        <cdr:cNvPr id="3" name="Rounded Rectangle 2"/>
        <cdr:cNvSpPr/>
      </cdr:nvSpPr>
      <cdr:spPr>
        <a:xfrm xmlns:a="http://schemas.openxmlformats.org/drawingml/2006/main">
          <a:off x="7360445" y="154782"/>
          <a:ext cx="1488281" cy="1619250"/>
        </a:xfrm>
        <a:prstGeom xmlns:a="http://schemas.openxmlformats.org/drawingml/2006/main" prst="roundRect">
          <a:avLst>
            <a:gd name="adj" fmla="val 6452"/>
          </a:avLst>
        </a:prstGeom>
        <a:solidFill xmlns:a="http://schemas.openxmlformats.org/drawingml/2006/main">
          <a:srgbClr val="FFFF99"/>
        </a:solidFill>
        <a:ln xmlns:a="http://schemas.openxmlformats.org/drawingml/2006/main">
          <a:solidFill>
            <a:schemeClr val="accent3"/>
          </a:solidFill>
        </a:ln>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lIns="0" r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100" u="none"/>
            <a:t>This chart shows predictions</a:t>
          </a:r>
          <a:r>
            <a:rPr lang="en-US" sz="1100" u="none" baseline="0"/>
            <a:t> of future reservoir storage over the next two years under different rainfall scenarios. "Drought fit" indicates predicted reservoir storage under drought conditions.</a:t>
          </a:r>
          <a:endParaRPr lang="en-US" sz="1100" u="none"/>
        </a:p>
      </cdr:txBody>
    </cdr:sp>
  </cdr:relSizeAnchor>
  <cdr:relSizeAnchor xmlns:cdr="http://schemas.openxmlformats.org/drawingml/2006/chartDrawing">
    <cdr:from>
      <cdr:x>0.83613</cdr:x>
      <cdr:y>0.77576</cdr:y>
    </cdr:from>
    <cdr:to>
      <cdr:x>0.98943</cdr:x>
      <cdr:y>0.90876</cdr:y>
    </cdr:to>
    <cdr:sp macro="" textlink="">
      <cdr:nvSpPr>
        <cdr:cNvPr id="4" name="Rounded Rectangle 3"/>
        <cdr:cNvSpPr/>
      </cdr:nvSpPr>
      <cdr:spPr>
        <a:xfrm xmlns:a="http://schemas.openxmlformats.org/drawingml/2006/main">
          <a:off x="7468394" y="5277644"/>
          <a:ext cx="1369221" cy="904875"/>
        </a:xfrm>
        <a:prstGeom xmlns:a="http://schemas.openxmlformats.org/drawingml/2006/main" prst="roundRect">
          <a:avLst>
            <a:gd name="adj" fmla="val 6452"/>
          </a:avLst>
        </a:prstGeom>
        <a:solidFill xmlns:a="http://schemas.openxmlformats.org/drawingml/2006/main">
          <a:srgbClr val="FFFF99"/>
        </a:solidFill>
        <a:ln xmlns:a="http://schemas.openxmlformats.org/drawingml/2006/main">
          <a:solidFill>
            <a:schemeClr val="accent3"/>
          </a:solidFill>
        </a:ln>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lIns="0" r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100" u="none"/>
            <a:t>When </a:t>
          </a:r>
          <a:r>
            <a:rPr lang="en-US" sz="1100" u="none" baseline="0"/>
            <a:t>the prediction falls below critical storage  (red dashed line), there may be generation impacts.</a:t>
          </a:r>
          <a:endParaRPr lang="en-US" sz="1100" u="none"/>
        </a:p>
      </cdr:txBody>
    </cdr:sp>
  </cdr:relSizeAnchor>
  <cdr:relSizeAnchor xmlns:cdr="http://schemas.openxmlformats.org/drawingml/2006/chartDrawing">
    <cdr:from>
      <cdr:x>0.76273</cdr:x>
      <cdr:y>0.74468</cdr:y>
    </cdr:from>
    <cdr:to>
      <cdr:x>0.83613</cdr:x>
      <cdr:y>0.84226</cdr:y>
    </cdr:to>
    <cdr:cxnSp macro="">
      <cdr:nvCxnSpPr>
        <cdr:cNvPr id="6" name="Straight Arrow Connector 5"/>
        <cdr:cNvCxnSpPr>
          <a:stCxn xmlns:a="http://schemas.openxmlformats.org/drawingml/2006/main" id="4" idx="1"/>
        </cdr:cNvCxnSpPr>
      </cdr:nvCxnSpPr>
      <cdr:spPr>
        <a:xfrm xmlns:a="http://schemas.openxmlformats.org/drawingml/2006/main" flipH="1" flipV="1">
          <a:off x="6812757" y="5083969"/>
          <a:ext cx="655637" cy="666169"/>
        </a:xfrm>
        <a:prstGeom xmlns:a="http://schemas.openxmlformats.org/drawingml/2006/main" prst="straightConnector1">
          <a:avLst/>
        </a:prstGeom>
        <a:ln xmlns:a="http://schemas.openxmlformats.org/drawingml/2006/main">
          <a:tailEnd type="triangle"/>
        </a:ln>
      </cdr:spPr>
      <cdr:style>
        <a:lnRef xmlns:a="http://schemas.openxmlformats.org/drawingml/2006/main" idx="2">
          <a:schemeClr val="dk1"/>
        </a:lnRef>
        <a:fillRef xmlns:a="http://schemas.openxmlformats.org/drawingml/2006/main" idx="0">
          <a:schemeClr val="dk1"/>
        </a:fillRef>
        <a:effectRef xmlns:a="http://schemas.openxmlformats.org/drawingml/2006/main" idx="1">
          <a:schemeClr val="dk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1</xdr:col>
      <xdr:colOff>104775</xdr:colOff>
      <xdr:row>35</xdr:row>
      <xdr:rowOff>178594</xdr:rowOff>
    </xdr:from>
    <xdr:to>
      <xdr:col>19</xdr:col>
      <xdr:colOff>857250</xdr:colOff>
      <xdr:row>54</xdr:row>
      <xdr:rowOff>42862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104774</xdr:colOff>
      <xdr:row>1</xdr:row>
      <xdr:rowOff>214312</xdr:rowOff>
    </xdr:from>
    <xdr:to>
      <xdr:col>15</xdr:col>
      <xdr:colOff>440532</xdr:colOff>
      <xdr:row>35</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16</xdr:col>
          <xdr:colOff>1295400</xdr:colOff>
          <xdr:row>34</xdr:row>
          <xdr:rowOff>95250</xdr:rowOff>
        </xdr:from>
        <xdr:to>
          <xdr:col>17</xdr:col>
          <xdr:colOff>314325</xdr:colOff>
          <xdr:row>40</xdr:row>
          <xdr:rowOff>180975</xdr:rowOff>
        </xdr:to>
        <xdr:sp macro="" textlink="">
          <xdr:nvSpPr>
            <xdr:cNvPr id="1025" name="Group Box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15</a:t>
              </a:r>
            </a:p>
          </xdr:txBody>
        </xdr:sp>
        <xdr:clientData/>
      </xdr:twoCellAnchor>
    </mc:Choice>
    <mc:Fallback/>
  </mc:AlternateContent>
  <xdr:twoCellAnchor>
    <xdr:from>
      <xdr:col>33</xdr:col>
      <xdr:colOff>595312</xdr:colOff>
      <xdr:row>0</xdr:row>
      <xdr:rowOff>190500</xdr:rowOff>
    </xdr:from>
    <xdr:to>
      <xdr:col>33</xdr:col>
      <xdr:colOff>2416967</xdr:colOff>
      <xdr:row>6</xdr:row>
      <xdr:rowOff>119062</xdr:rowOff>
    </xdr:to>
    <xdr:sp macro="" textlink="">
      <xdr:nvSpPr>
        <xdr:cNvPr id="11" name="Rounded Rectangle 10"/>
        <xdr:cNvSpPr/>
      </xdr:nvSpPr>
      <xdr:spPr>
        <a:xfrm>
          <a:off x="25503187" y="190500"/>
          <a:ext cx="1821655" cy="1214437"/>
        </a:xfrm>
        <a:prstGeom prst="roundRect">
          <a:avLst>
            <a:gd name="adj" fmla="val 6452"/>
          </a:avLst>
        </a:prstGeom>
        <a:solidFill>
          <a:srgbClr val="FFFF99"/>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lIns="0" rIns="0" rtlCol="0" anchor="ctr"/>
        <a:lstStyle/>
        <a:p>
          <a:pPr algn="ctr"/>
          <a:r>
            <a:rPr lang="en-US" sz="1100" u="none"/>
            <a:t>For off channel reservoirs</a:t>
          </a:r>
          <a:r>
            <a:rPr lang="en-US" sz="1100" u="none" baseline="0"/>
            <a:t>. with (normally) constant levels, this table uses  a pan evaporation and consumption (gals/MWh) to calculate the level and storage reductions</a:t>
          </a:r>
          <a:endParaRPr lang="en-US" sz="1100" u="none"/>
        </a:p>
      </xdr:txBody>
    </xdr:sp>
    <xdr:clientData/>
  </xdr:twoCellAnchor>
  <xdr:twoCellAnchor>
    <xdr:from>
      <xdr:col>52</xdr:col>
      <xdr:colOff>285750</xdr:colOff>
      <xdr:row>2</xdr:row>
      <xdr:rowOff>107157</xdr:rowOff>
    </xdr:from>
    <xdr:to>
      <xdr:col>52</xdr:col>
      <xdr:colOff>1695451</xdr:colOff>
      <xdr:row>8</xdr:row>
      <xdr:rowOff>11906</xdr:rowOff>
    </xdr:to>
    <xdr:sp macro="" textlink="">
      <xdr:nvSpPr>
        <xdr:cNvPr id="15" name="Rounded Rectangle 14"/>
        <xdr:cNvSpPr/>
      </xdr:nvSpPr>
      <xdr:spPr>
        <a:xfrm>
          <a:off x="37004625" y="571501"/>
          <a:ext cx="1409701" cy="1190624"/>
        </a:xfrm>
        <a:prstGeom prst="roundRect">
          <a:avLst>
            <a:gd name="adj" fmla="val 6452"/>
          </a:avLst>
        </a:prstGeom>
        <a:solidFill>
          <a:srgbClr val="FFFF99"/>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lIns="0" rIns="0" rtlCol="0" anchor="ctr"/>
        <a:lstStyle/>
        <a:p>
          <a:pPr algn="ctr"/>
          <a:r>
            <a:rPr lang="en-US" sz="1100" u="none"/>
            <a:t>For sites with no level information use the conservation level and total</a:t>
          </a:r>
          <a:r>
            <a:rPr lang="en-US" sz="1100" u="none" baseline="0"/>
            <a:t> depth to create a storage profile. </a:t>
          </a:r>
          <a:endParaRPr lang="en-US" sz="1100" u="none"/>
        </a:p>
      </xdr:txBody>
    </xdr:sp>
    <xdr:clientData/>
  </xdr:twoCellAnchor>
  <xdr:twoCellAnchor>
    <xdr:from>
      <xdr:col>52</xdr:col>
      <xdr:colOff>1695451</xdr:colOff>
      <xdr:row>4</xdr:row>
      <xdr:rowOff>83343</xdr:rowOff>
    </xdr:from>
    <xdr:to>
      <xdr:col>53</xdr:col>
      <xdr:colOff>666749</xdr:colOff>
      <xdr:row>5</xdr:row>
      <xdr:rowOff>59532</xdr:rowOff>
    </xdr:to>
    <xdr:cxnSp macro="">
      <xdr:nvCxnSpPr>
        <xdr:cNvPr id="16" name="Straight Arrow Connector 15"/>
        <xdr:cNvCxnSpPr>
          <a:stCxn id="15" idx="3"/>
        </xdr:cNvCxnSpPr>
      </xdr:nvCxnSpPr>
      <xdr:spPr>
        <a:xfrm flipV="1">
          <a:off x="38414326" y="976312"/>
          <a:ext cx="864392" cy="19050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581025</xdr:colOff>
      <xdr:row>6</xdr:row>
      <xdr:rowOff>188121</xdr:rowOff>
    </xdr:from>
    <xdr:to>
      <xdr:col>33</xdr:col>
      <xdr:colOff>2402680</xdr:colOff>
      <xdr:row>11</xdr:row>
      <xdr:rowOff>119064</xdr:rowOff>
    </xdr:to>
    <xdr:sp macro="" textlink="">
      <xdr:nvSpPr>
        <xdr:cNvPr id="26" name="Rounded Rectangle 25"/>
        <xdr:cNvSpPr/>
      </xdr:nvSpPr>
      <xdr:spPr>
        <a:xfrm>
          <a:off x="25488900" y="1473996"/>
          <a:ext cx="1821655" cy="919162"/>
        </a:xfrm>
        <a:prstGeom prst="roundRect">
          <a:avLst>
            <a:gd name="adj" fmla="val 6452"/>
          </a:avLst>
        </a:prstGeom>
        <a:solidFill>
          <a:srgbClr val="FFFF99"/>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lIns="0" rIns="0" rtlCol="0" anchor="ctr"/>
        <a:lstStyle/>
        <a:p>
          <a:pPr algn="ctr"/>
          <a:r>
            <a:rPr lang="en-US" sz="1100" u="none"/>
            <a:t>Select the evaporation location</a:t>
          </a:r>
          <a:r>
            <a:rPr lang="en-US" sz="1100" u="none" baseline="0"/>
            <a:t> to use in calculations based on the geographic location of the reservoir in the state.</a:t>
          </a:r>
          <a:endParaRPr lang="en-US" sz="1100" u="none"/>
        </a:p>
      </xdr:txBody>
    </xdr:sp>
    <xdr:clientData/>
  </xdr:twoCellAnchor>
  <xdr:twoCellAnchor>
    <xdr:from>
      <xdr:col>33</xdr:col>
      <xdr:colOff>2402680</xdr:colOff>
      <xdr:row>2</xdr:row>
      <xdr:rowOff>119063</xdr:rowOff>
    </xdr:from>
    <xdr:to>
      <xdr:col>37</xdr:col>
      <xdr:colOff>726281</xdr:colOff>
      <xdr:row>9</xdr:row>
      <xdr:rowOff>52389</xdr:rowOff>
    </xdr:to>
    <xdr:cxnSp macro="">
      <xdr:nvCxnSpPr>
        <xdr:cNvPr id="27" name="Straight Arrow Connector 26"/>
        <xdr:cNvCxnSpPr>
          <a:stCxn id="26" idx="3"/>
        </xdr:cNvCxnSpPr>
      </xdr:nvCxnSpPr>
      <xdr:spPr>
        <a:xfrm flipV="1">
          <a:off x="27310555" y="583407"/>
          <a:ext cx="3169445" cy="135017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19051</xdr:colOff>
      <xdr:row>20</xdr:row>
      <xdr:rowOff>-1</xdr:rowOff>
    </xdr:from>
    <xdr:to>
      <xdr:col>42</xdr:col>
      <xdr:colOff>809625</xdr:colOff>
      <xdr:row>23</xdr:row>
      <xdr:rowOff>11906</xdr:rowOff>
    </xdr:to>
    <xdr:sp macro="" textlink="">
      <xdr:nvSpPr>
        <xdr:cNvPr id="30" name="Rounded Rectangle 29"/>
        <xdr:cNvSpPr/>
      </xdr:nvSpPr>
      <xdr:spPr>
        <a:xfrm>
          <a:off x="33368457" y="4071937"/>
          <a:ext cx="1933574" cy="654844"/>
        </a:xfrm>
        <a:prstGeom prst="roundRect">
          <a:avLst>
            <a:gd name="adj" fmla="val 6452"/>
          </a:avLst>
        </a:prstGeom>
        <a:solidFill>
          <a:srgbClr val="FFFF99"/>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lIns="0" rIns="0" rtlCol="0" anchor="ctr"/>
        <a:lstStyle/>
        <a:p>
          <a:pPr algn="ctr"/>
          <a:r>
            <a:rPr lang="en-US" sz="1100" u="none"/>
            <a:t>Consumption assumptions</a:t>
          </a:r>
          <a:r>
            <a:rPr lang="en-US" sz="1100" u="none" baseline="0"/>
            <a:t> are based on information entered in the table in cells Q13:T17.</a:t>
          </a:r>
          <a:endParaRPr lang="en-US" sz="1100" u="none"/>
        </a:p>
      </xdr:txBody>
    </xdr:sp>
    <xdr:clientData/>
  </xdr:twoCellAnchor>
  <xdr:twoCellAnchor>
    <xdr:from>
      <xdr:col>41</xdr:col>
      <xdr:colOff>976314</xdr:colOff>
      <xdr:row>19</xdr:row>
      <xdr:rowOff>11906</xdr:rowOff>
    </xdr:from>
    <xdr:to>
      <xdr:col>41</xdr:col>
      <xdr:colOff>985838</xdr:colOff>
      <xdr:row>20</xdr:row>
      <xdr:rowOff>-1</xdr:rowOff>
    </xdr:to>
    <xdr:cxnSp macro="">
      <xdr:nvCxnSpPr>
        <xdr:cNvPr id="31" name="Straight Arrow Connector 30"/>
        <xdr:cNvCxnSpPr>
          <a:stCxn id="30" idx="0"/>
        </xdr:cNvCxnSpPr>
      </xdr:nvCxnSpPr>
      <xdr:spPr>
        <a:xfrm flipH="1" flipV="1">
          <a:off x="34325720" y="3869531"/>
          <a:ext cx="9524" cy="202406"/>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273843</xdr:colOff>
      <xdr:row>2</xdr:row>
      <xdr:rowOff>178592</xdr:rowOff>
    </xdr:from>
    <xdr:to>
      <xdr:col>44</xdr:col>
      <xdr:colOff>1559718</xdr:colOff>
      <xdr:row>10</xdr:row>
      <xdr:rowOff>142874</xdr:rowOff>
    </xdr:to>
    <xdr:sp macro="" textlink="">
      <xdr:nvSpPr>
        <xdr:cNvPr id="41" name="Rounded Rectangle 40"/>
        <xdr:cNvSpPr/>
      </xdr:nvSpPr>
      <xdr:spPr>
        <a:xfrm>
          <a:off x="36802218" y="642936"/>
          <a:ext cx="1285875" cy="1571626"/>
        </a:xfrm>
        <a:prstGeom prst="roundRect">
          <a:avLst>
            <a:gd name="adj" fmla="val 6452"/>
          </a:avLst>
        </a:prstGeom>
        <a:solidFill>
          <a:srgbClr val="FFFF99"/>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lIns="0" rIns="0" rtlCol="0" anchor="ctr"/>
        <a:lstStyle/>
        <a:p>
          <a:pPr algn="ctr"/>
          <a:r>
            <a:rPr lang="en-US" sz="1100" u="none"/>
            <a:t>The monthly</a:t>
          </a:r>
        </a:p>
        <a:p>
          <a:pPr algn="ctr"/>
          <a:r>
            <a:rPr lang="en-US" sz="1100" u="none"/>
            <a:t> change in storage after accounting for evaporation</a:t>
          </a:r>
          <a:r>
            <a:rPr lang="en-US" sz="1100" u="none" baseline="0"/>
            <a:t> and consumption is used to forecast future storage in the reservoir.</a:t>
          </a:r>
          <a:endParaRPr lang="en-US" sz="1100" u="none"/>
        </a:p>
      </xdr:txBody>
    </xdr:sp>
    <xdr:clientData/>
  </xdr:twoCellAnchor>
  <xdr:twoCellAnchor>
    <xdr:from>
      <xdr:col>43</xdr:col>
      <xdr:colOff>1107282</xdr:colOff>
      <xdr:row>3</xdr:row>
      <xdr:rowOff>166688</xdr:rowOff>
    </xdr:from>
    <xdr:to>
      <xdr:col>44</xdr:col>
      <xdr:colOff>297656</xdr:colOff>
      <xdr:row>3</xdr:row>
      <xdr:rowOff>166689</xdr:rowOff>
    </xdr:to>
    <xdr:cxnSp macro="">
      <xdr:nvCxnSpPr>
        <xdr:cNvPr id="42" name="Straight Arrow Connector 41"/>
        <xdr:cNvCxnSpPr/>
      </xdr:nvCxnSpPr>
      <xdr:spPr>
        <a:xfrm flipH="1">
          <a:off x="36516470" y="845344"/>
          <a:ext cx="309561" cy="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250032</xdr:colOff>
      <xdr:row>0</xdr:row>
      <xdr:rowOff>202408</xdr:rowOff>
    </xdr:from>
    <xdr:to>
      <xdr:col>27</xdr:col>
      <xdr:colOff>1952626</xdr:colOff>
      <xdr:row>8</xdr:row>
      <xdr:rowOff>23814</xdr:rowOff>
    </xdr:to>
    <xdr:sp macro="" textlink="">
      <xdr:nvSpPr>
        <xdr:cNvPr id="46" name="Rounded Rectangle 45"/>
        <xdr:cNvSpPr/>
      </xdr:nvSpPr>
      <xdr:spPr>
        <a:xfrm>
          <a:off x="20454938" y="202408"/>
          <a:ext cx="1702594" cy="1512094"/>
        </a:xfrm>
        <a:prstGeom prst="roundRect">
          <a:avLst>
            <a:gd name="adj" fmla="val 6452"/>
          </a:avLst>
        </a:prstGeom>
        <a:solidFill>
          <a:srgbClr val="FFFF99"/>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lIns="0" rIns="0" rtlCol="0" anchor="ctr"/>
        <a:lstStyle/>
        <a:p>
          <a:pPr algn="ctr"/>
          <a:r>
            <a:rPr lang="en-US" sz="1100" u="none" baseline="0"/>
            <a:t>This table predicts future storage based on the estimated storage in the table at left, and the profiles of montly changes estimated in the "Calculation of Drought Fit" table (columns AI to AR).</a:t>
          </a:r>
        </a:p>
      </xdr:txBody>
    </xdr:sp>
    <xdr:clientData/>
  </xdr:twoCellAnchor>
  <xdr:twoCellAnchor>
    <xdr:from>
      <xdr:col>21</xdr:col>
      <xdr:colOff>297656</xdr:colOff>
      <xdr:row>31</xdr:row>
      <xdr:rowOff>130968</xdr:rowOff>
    </xdr:from>
    <xdr:to>
      <xdr:col>21</xdr:col>
      <xdr:colOff>2035969</xdr:colOff>
      <xdr:row>36</xdr:row>
      <xdr:rowOff>23812</xdr:rowOff>
    </xdr:to>
    <xdr:sp macro="" textlink="">
      <xdr:nvSpPr>
        <xdr:cNvPr id="51" name="Rounded Rectangle 50"/>
        <xdr:cNvSpPr/>
      </xdr:nvSpPr>
      <xdr:spPr>
        <a:xfrm>
          <a:off x="14870906" y="6560343"/>
          <a:ext cx="1738313" cy="964407"/>
        </a:xfrm>
        <a:prstGeom prst="roundRect">
          <a:avLst>
            <a:gd name="adj" fmla="val 6452"/>
          </a:avLst>
        </a:prstGeom>
        <a:solidFill>
          <a:srgbClr val="FFFF99"/>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lIns="0" rIns="0" rtlCol="0" anchor="ctr"/>
        <a:lstStyle/>
        <a:p>
          <a:pPr algn="ctr"/>
          <a:r>
            <a:rPr lang="en-US" sz="1100" u="none"/>
            <a:t>Because monitoring data is unavailable,  the model assumes the reservoir is</a:t>
          </a:r>
          <a:r>
            <a:rPr lang="en-US" sz="1100" u="none" baseline="0"/>
            <a:t> kept at constant levels.  </a:t>
          </a:r>
          <a:endParaRPr lang="en-US" sz="1100" u="none"/>
        </a:p>
      </xdr:txBody>
    </xdr:sp>
    <xdr:clientData/>
  </xdr:twoCellAnchor>
  <xdr:twoCellAnchor>
    <xdr:from>
      <xdr:col>21</xdr:col>
      <xdr:colOff>2035969</xdr:colOff>
      <xdr:row>33</xdr:row>
      <xdr:rowOff>47625</xdr:rowOff>
    </xdr:from>
    <xdr:to>
      <xdr:col>24</xdr:col>
      <xdr:colOff>0</xdr:colOff>
      <xdr:row>33</xdr:row>
      <xdr:rowOff>184547</xdr:rowOff>
    </xdr:to>
    <xdr:cxnSp macro="">
      <xdr:nvCxnSpPr>
        <xdr:cNvPr id="52" name="Straight Arrow Connector 51"/>
        <xdr:cNvCxnSpPr>
          <a:stCxn id="51" idx="3"/>
        </xdr:cNvCxnSpPr>
      </xdr:nvCxnSpPr>
      <xdr:spPr>
        <a:xfrm flipV="1">
          <a:off x="16609219" y="6905625"/>
          <a:ext cx="1488281" cy="136922"/>
        </a:xfrm>
        <a:prstGeom prst="straightConnector1">
          <a:avLst/>
        </a:prstGeom>
        <a:ln w="15875">
          <a:solidFill>
            <a:srgbClr val="FF0000"/>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2035969</xdr:colOff>
      <xdr:row>33</xdr:row>
      <xdr:rowOff>184547</xdr:rowOff>
    </xdr:from>
    <xdr:to>
      <xdr:col>24</xdr:col>
      <xdr:colOff>130969</xdr:colOff>
      <xdr:row>33</xdr:row>
      <xdr:rowOff>214310</xdr:rowOff>
    </xdr:to>
    <xdr:cxnSp macro="">
      <xdr:nvCxnSpPr>
        <xdr:cNvPr id="53" name="Straight Arrow Connector 52"/>
        <xdr:cNvCxnSpPr>
          <a:stCxn id="51" idx="3"/>
        </xdr:cNvCxnSpPr>
      </xdr:nvCxnSpPr>
      <xdr:spPr>
        <a:xfrm>
          <a:off x="16609219" y="7042547"/>
          <a:ext cx="1619250" cy="29763"/>
        </a:xfrm>
        <a:prstGeom prst="straightConnector1">
          <a:avLst/>
        </a:prstGeom>
        <a:ln w="15875">
          <a:solidFill>
            <a:srgbClr val="FF0000"/>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2035969</xdr:colOff>
      <xdr:row>33</xdr:row>
      <xdr:rowOff>184547</xdr:rowOff>
    </xdr:from>
    <xdr:to>
      <xdr:col>24</xdr:col>
      <xdr:colOff>59531</xdr:colOff>
      <xdr:row>34</xdr:row>
      <xdr:rowOff>214310</xdr:rowOff>
    </xdr:to>
    <xdr:cxnSp macro="">
      <xdr:nvCxnSpPr>
        <xdr:cNvPr id="54" name="Straight Arrow Connector 53"/>
        <xdr:cNvCxnSpPr>
          <a:stCxn id="51" idx="3"/>
        </xdr:cNvCxnSpPr>
      </xdr:nvCxnSpPr>
      <xdr:spPr>
        <a:xfrm>
          <a:off x="16609219" y="7042547"/>
          <a:ext cx="1547812" cy="244076"/>
        </a:xfrm>
        <a:prstGeom prst="straightConnector1">
          <a:avLst/>
        </a:prstGeom>
        <a:ln w="15875">
          <a:solidFill>
            <a:srgbClr val="FF0000"/>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83340</xdr:colOff>
      <xdr:row>0</xdr:row>
      <xdr:rowOff>202407</xdr:rowOff>
    </xdr:from>
    <xdr:to>
      <xdr:col>21</xdr:col>
      <xdr:colOff>1845467</xdr:colOff>
      <xdr:row>9</xdr:row>
      <xdr:rowOff>71439</xdr:rowOff>
    </xdr:to>
    <xdr:sp macro="" textlink="">
      <xdr:nvSpPr>
        <xdr:cNvPr id="63" name="Rounded Rectangle 62"/>
        <xdr:cNvSpPr/>
      </xdr:nvSpPr>
      <xdr:spPr>
        <a:xfrm>
          <a:off x="14656590" y="202407"/>
          <a:ext cx="1762127" cy="1750220"/>
        </a:xfrm>
        <a:prstGeom prst="roundRect">
          <a:avLst>
            <a:gd name="adj" fmla="val 6452"/>
          </a:avLst>
        </a:prstGeom>
        <a:solidFill>
          <a:srgbClr val="FFFF99"/>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wrap="square" lIns="0" r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US" sz="1100" u="none"/>
            <a:t>This is the primary</a:t>
          </a:r>
          <a:r>
            <a:rPr lang="en-US" sz="1100" u="none" baseline="0"/>
            <a:t> output of the prediction spreadsheet, indicating the number of months before the reservoir becomes at risk. The yellow dot indicates, should secondary water sources fail, the reservoir could become at risk within 12 months.</a:t>
          </a:r>
          <a:endParaRPr lang="en-US" sz="1100" u="none"/>
        </a:p>
      </xdr:txBody>
    </xdr:sp>
    <xdr:clientData/>
  </xdr:twoCellAnchor>
  <xdr:twoCellAnchor>
    <xdr:from>
      <xdr:col>17</xdr:col>
      <xdr:colOff>642937</xdr:colOff>
      <xdr:row>4</xdr:row>
      <xdr:rowOff>83343</xdr:rowOff>
    </xdr:from>
    <xdr:to>
      <xdr:col>21</xdr:col>
      <xdr:colOff>83340</xdr:colOff>
      <xdr:row>4</xdr:row>
      <xdr:rowOff>196454</xdr:rowOff>
    </xdr:to>
    <xdr:cxnSp macro="">
      <xdr:nvCxnSpPr>
        <xdr:cNvPr id="64" name="Straight Arrow Connector 63"/>
        <xdr:cNvCxnSpPr>
          <a:stCxn id="63" idx="1"/>
        </xdr:cNvCxnSpPr>
      </xdr:nvCxnSpPr>
      <xdr:spPr>
        <a:xfrm flipH="1" flipV="1">
          <a:off x="12215812" y="964406"/>
          <a:ext cx="2440778" cy="113111"/>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5.xml><?xml version="1.0" encoding="utf-8"?>
<c:userShapes xmlns:c="http://schemas.openxmlformats.org/drawingml/2006/chart">
  <cdr:relSizeAnchor xmlns:cdr="http://schemas.openxmlformats.org/drawingml/2006/chartDrawing">
    <cdr:from>
      <cdr:x>0.70313</cdr:x>
      <cdr:y>0.14885</cdr:y>
    </cdr:from>
    <cdr:to>
      <cdr:x>0.98542</cdr:x>
      <cdr:y>0.34066</cdr:y>
    </cdr:to>
    <cdr:sp macro="" textlink="">
      <cdr:nvSpPr>
        <cdr:cNvPr id="2" name="TextBox 1"/>
        <cdr:cNvSpPr txBox="1"/>
      </cdr:nvSpPr>
      <cdr:spPr>
        <a:xfrm xmlns:a="http://schemas.openxmlformats.org/drawingml/2006/main">
          <a:off x="6429375" y="709614"/>
          <a:ext cx="2581275"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0.84004</cdr:x>
      <cdr:y>0.04735</cdr:y>
    </cdr:from>
    <cdr:to>
      <cdr:x>0.99467</cdr:x>
      <cdr:y>0.27595</cdr:y>
    </cdr:to>
    <cdr:sp macro="" textlink="">
      <cdr:nvSpPr>
        <cdr:cNvPr id="3" name="Rounded Rectangle 2"/>
        <cdr:cNvSpPr/>
      </cdr:nvSpPr>
      <cdr:spPr>
        <a:xfrm xmlns:a="http://schemas.openxmlformats.org/drawingml/2006/main">
          <a:off x="7503319" y="336550"/>
          <a:ext cx="1381125" cy="1624918"/>
        </a:xfrm>
        <a:prstGeom xmlns:a="http://schemas.openxmlformats.org/drawingml/2006/main" prst="roundRect">
          <a:avLst>
            <a:gd name="adj" fmla="val 6452"/>
          </a:avLst>
        </a:prstGeom>
        <a:solidFill xmlns:a="http://schemas.openxmlformats.org/drawingml/2006/main">
          <a:srgbClr val="FFFF99"/>
        </a:solidFill>
        <a:ln xmlns:a="http://schemas.openxmlformats.org/drawingml/2006/main">
          <a:solidFill>
            <a:schemeClr val="accent3"/>
          </a:solidFill>
        </a:ln>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lIns="0" r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100" u="none"/>
            <a:t>This chart shows the prediction</a:t>
          </a:r>
          <a:r>
            <a:rPr lang="en-US" sz="1100" u="none" baseline="0"/>
            <a:t> of future reservoir storage over the next two years </a:t>
          </a:r>
          <a:r>
            <a:rPr lang="en-US" sz="1100" i="1" u="none" baseline="0"/>
            <a:t>if </a:t>
          </a:r>
          <a:r>
            <a:rPr lang="en-US" sz="1100" i="0" u="none" baseline="0"/>
            <a:t>the secondary water source becomes unavailable</a:t>
          </a:r>
          <a:r>
            <a:rPr lang="en-US" sz="1100" u="none" baseline="0"/>
            <a:t>.</a:t>
          </a:r>
          <a:endParaRPr lang="en-US" sz="1100" u="none"/>
        </a:p>
      </cdr:txBody>
    </cdr:sp>
  </cdr:relSizeAnchor>
  <cdr:relSizeAnchor xmlns:cdr="http://schemas.openxmlformats.org/drawingml/2006/chartDrawing">
    <cdr:from>
      <cdr:x>0.84671</cdr:x>
      <cdr:y>0.62821</cdr:y>
    </cdr:from>
    <cdr:to>
      <cdr:x>0.99467</cdr:x>
      <cdr:y>0.75596</cdr:y>
    </cdr:to>
    <cdr:sp macro="" textlink="">
      <cdr:nvSpPr>
        <cdr:cNvPr id="4" name="Rounded Rectangle 3"/>
        <cdr:cNvSpPr/>
      </cdr:nvSpPr>
      <cdr:spPr>
        <a:xfrm xmlns:a="http://schemas.openxmlformats.org/drawingml/2006/main">
          <a:off x="7562849" y="4465312"/>
          <a:ext cx="1321595" cy="908042"/>
        </a:xfrm>
        <a:prstGeom xmlns:a="http://schemas.openxmlformats.org/drawingml/2006/main" prst="roundRect">
          <a:avLst>
            <a:gd name="adj" fmla="val 6452"/>
          </a:avLst>
        </a:prstGeom>
        <a:solidFill xmlns:a="http://schemas.openxmlformats.org/drawingml/2006/main">
          <a:srgbClr val="FFFF99"/>
        </a:solidFill>
        <a:ln xmlns:a="http://schemas.openxmlformats.org/drawingml/2006/main">
          <a:solidFill>
            <a:schemeClr val="accent3"/>
          </a:solidFill>
        </a:ln>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lIns="0" r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100" u="none"/>
            <a:t>When </a:t>
          </a:r>
          <a:r>
            <a:rPr lang="en-US" sz="1100" u="none" baseline="0"/>
            <a:t>the prediction falls below critical storage  (red dashed line), there may be generation impacts.</a:t>
          </a:r>
          <a:endParaRPr lang="en-US" sz="1100" u="none"/>
        </a:p>
      </cdr:txBody>
    </cdr:sp>
  </cdr:relSizeAnchor>
  <cdr:relSizeAnchor xmlns:cdr="http://schemas.openxmlformats.org/drawingml/2006/chartDrawing">
    <cdr:from>
      <cdr:x>0.56145</cdr:x>
      <cdr:y>0.54941</cdr:y>
    </cdr:from>
    <cdr:to>
      <cdr:x>0.84671</cdr:x>
      <cdr:y>0.69208</cdr:y>
    </cdr:to>
    <cdr:cxnSp macro="">
      <cdr:nvCxnSpPr>
        <cdr:cNvPr id="5" name="Straight Arrow Connector 4"/>
        <cdr:cNvCxnSpPr>
          <a:stCxn xmlns:a="http://schemas.openxmlformats.org/drawingml/2006/main" id="4" idx="1"/>
        </cdr:cNvCxnSpPr>
      </cdr:nvCxnSpPr>
      <cdr:spPr>
        <a:xfrm xmlns:a="http://schemas.openxmlformats.org/drawingml/2006/main" flipH="1" flipV="1">
          <a:off x="5014913" y="3905251"/>
          <a:ext cx="2547936" cy="1014082"/>
        </a:xfrm>
        <a:prstGeom xmlns:a="http://schemas.openxmlformats.org/drawingml/2006/main" prst="straightConnector1">
          <a:avLst/>
        </a:prstGeom>
        <a:ln xmlns:a="http://schemas.openxmlformats.org/drawingml/2006/main">
          <a:tailEnd type="triangle"/>
        </a:ln>
      </cdr:spPr>
      <cdr:style>
        <a:lnRef xmlns:a="http://schemas.openxmlformats.org/drawingml/2006/main" idx="2">
          <a:schemeClr val="dk1"/>
        </a:lnRef>
        <a:fillRef xmlns:a="http://schemas.openxmlformats.org/drawingml/2006/main" idx="0">
          <a:schemeClr val="dk1"/>
        </a:fillRef>
        <a:effectRef xmlns:a="http://schemas.openxmlformats.org/drawingml/2006/main" idx="1">
          <a:schemeClr val="dk1"/>
        </a:effectRef>
        <a:fontRef xmlns:a="http://schemas.openxmlformats.org/drawingml/2006/main" idx="minor">
          <a:schemeClr val="tx1"/>
        </a:fontRef>
      </cdr:style>
    </cdr:cxnSp>
  </cdr:relSizeAnchor>
</c:userShapes>
</file>

<file path=xl/queryTables/queryTable1.xml><?xml version="1.0" encoding="utf-8"?>
<queryTable xmlns="http://schemas.openxmlformats.org/spreadsheetml/2006/main" name="2000-11-01" preserveFormatting="0" connectionId="1"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2000-11-01" preserveFormatting="0" connectionId="2"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queryTable" Target="../queryTables/queryTable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queryTable" Target="../queryTables/queryTable2.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B2:Y36"/>
  <sheetViews>
    <sheetView tabSelected="1" zoomScaleNormal="100" workbookViewId="0">
      <selection activeCell="F30" sqref="F30"/>
    </sheetView>
  </sheetViews>
  <sheetFormatPr defaultRowHeight="15"/>
  <cols>
    <col min="1" max="1" width="3" style="319" customWidth="1"/>
    <col min="2" max="15" width="9.140625" style="319"/>
    <col min="16" max="16" width="4" style="319" customWidth="1"/>
    <col min="17" max="16384" width="9.140625" style="319"/>
  </cols>
  <sheetData>
    <row r="2" spans="2:16">
      <c r="B2" s="274"/>
      <c r="C2" s="274"/>
      <c r="D2" s="274"/>
      <c r="E2" s="274"/>
      <c r="F2" s="274"/>
      <c r="G2" s="274"/>
      <c r="H2" s="274"/>
      <c r="I2" s="274"/>
      <c r="J2" s="274"/>
      <c r="K2" s="274"/>
      <c r="L2" s="274"/>
      <c r="M2" s="274"/>
      <c r="N2" s="274"/>
      <c r="O2" s="274"/>
      <c r="P2" s="274"/>
    </row>
    <row r="3" spans="2:16">
      <c r="B3" s="274"/>
      <c r="C3" s="274"/>
      <c r="D3" s="274"/>
      <c r="E3" s="274"/>
      <c r="F3" s="274"/>
      <c r="G3" s="274"/>
      <c r="H3" s="274"/>
      <c r="I3" s="274"/>
      <c r="J3" s="274"/>
      <c r="K3" s="274"/>
      <c r="L3" s="274"/>
      <c r="M3" s="274"/>
      <c r="N3" s="274"/>
      <c r="O3" s="274"/>
      <c r="P3" s="274"/>
    </row>
    <row r="4" spans="2:16">
      <c r="B4" s="322"/>
      <c r="C4" s="274"/>
      <c r="D4" s="274"/>
      <c r="E4" s="274"/>
      <c r="F4" s="274"/>
      <c r="G4" s="274"/>
      <c r="H4" s="274"/>
      <c r="I4" s="274"/>
      <c r="J4" s="274"/>
      <c r="K4" s="274"/>
      <c r="L4" s="274"/>
      <c r="M4" s="274"/>
      <c r="N4" s="274"/>
      <c r="O4" s="274"/>
      <c r="P4" s="274"/>
    </row>
    <row r="5" spans="2:16" ht="46.5">
      <c r="B5" s="274"/>
      <c r="C5" s="274"/>
      <c r="D5" s="327" t="s">
        <v>89</v>
      </c>
      <c r="E5" s="274"/>
      <c r="F5" s="274"/>
      <c r="G5" s="274"/>
      <c r="H5" s="274"/>
      <c r="I5" s="274"/>
      <c r="J5" s="274"/>
      <c r="K5" s="274"/>
      <c r="L5" s="274"/>
      <c r="M5" s="274"/>
      <c r="N5" s="274"/>
      <c r="O5" s="274"/>
      <c r="P5" s="274"/>
    </row>
    <row r="6" spans="2:16">
      <c r="B6" s="274"/>
      <c r="C6" s="274"/>
      <c r="D6" s="274"/>
      <c r="E6" s="274"/>
      <c r="F6" s="274"/>
      <c r="G6" s="274"/>
      <c r="H6" s="274"/>
      <c r="I6" s="274"/>
      <c r="J6" s="274"/>
      <c r="K6" s="274"/>
      <c r="L6" s="274"/>
      <c r="M6" s="274"/>
      <c r="N6" s="274"/>
      <c r="O6" s="274"/>
      <c r="P6" s="274"/>
    </row>
    <row r="7" spans="2:16" ht="15.75">
      <c r="B7" s="354" t="s">
        <v>88</v>
      </c>
      <c r="C7" s="354"/>
      <c r="D7" s="354"/>
      <c r="E7" s="354"/>
      <c r="F7" s="354"/>
      <c r="G7" s="354"/>
      <c r="H7" s="354"/>
      <c r="I7" s="354"/>
      <c r="J7" s="354"/>
      <c r="K7" s="354"/>
      <c r="L7" s="354"/>
      <c r="M7" s="354"/>
      <c r="N7" s="354"/>
      <c r="O7" s="354"/>
      <c r="P7" s="274"/>
    </row>
    <row r="8" spans="2:16" ht="32.25" customHeight="1">
      <c r="B8" s="356" t="s">
        <v>87</v>
      </c>
      <c r="C8" s="356"/>
      <c r="D8" s="356"/>
      <c r="E8" s="356"/>
      <c r="F8" s="356"/>
      <c r="G8" s="356"/>
      <c r="H8" s="356"/>
      <c r="I8" s="356"/>
      <c r="J8" s="356"/>
      <c r="K8" s="356"/>
      <c r="L8" s="356"/>
      <c r="M8" s="356"/>
      <c r="N8" s="356"/>
      <c r="O8" s="356"/>
      <c r="P8" s="320"/>
    </row>
    <row r="9" spans="2:16">
      <c r="B9" s="274"/>
      <c r="C9" s="274"/>
      <c r="D9" s="321"/>
      <c r="E9" s="274"/>
      <c r="F9" s="274"/>
      <c r="G9" s="274"/>
      <c r="H9" s="274"/>
      <c r="I9" s="274"/>
      <c r="J9" s="274"/>
      <c r="K9" s="274"/>
      <c r="L9" s="274"/>
      <c r="M9" s="274"/>
      <c r="N9" s="274"/>
      <c r="O9" s="274"/>
      <c r="P9" s="274"/>
    </row>
    <row r="10" spans="2:16">
      <c r="B10" s="274"/>
      <c r="C10" s="274"/>
      <c r="D10" s="321"/>
      <c r="E10" s="274"/>
      <c r="F10" s="274"/>
      <c r="G10" s="274"/>
      <c r="H10" s="274"/>
      <c r="I10" s="274"/>
      <c r="J10" s="274"/>
      <c r="K10" s="274"/>
      <c r="L10" s="274"/>
      <c r="M10" s="274"/>
      <c r="N10" s="274"/>
      <c r="O10" s="274"/>
      <c r="P10" s="274"/>
    </row>
    <row r="11" spans="2:16">
      <c r="B11" s="324" t="s">
        <v>86</v>
      </c>
      <c r="C11" s="274"/>
      <c r="D11" s="274"/>
      <c r="E11" s="274"/>
      <c r="F11" s="274"/>
      <c r="G11" s="274"/>
      <c r="H11" s="274"/>
      <c r="I11" s="274"/>
      <c r="J11" s="274"/>
      <c r="K11" s="274"/>
      <c r="L11" s="274"/>
      <c r="M11" s="274"/>
      <c r="N11" s="274"/>
      <c r="O11" s="274"/>
      <c r="P11" s="274"/>
    </row>
    <row r="12" spans="2:16" ht="134.25" customHeight="1">
      <c r="B12" s="353" t="s">
        <v>103</v>
      </c>
      <c r="C12" s="353"/>
      <c r="D12" s="353"/>
      <c r="E12" s="353"/>
      <c r="F12" s="353"/>
      <c r="G12" s="353"/>
      <c r="H12" s="353"/>
      <c r="I12" s="353"/>
      <c r="J12" s="353"/>
      <c r="K12" s="353"/>
      <c r="L12" s="274"/>
      <c r="M12" s="274"/>
      <c r="N12" s="274"/>
      <c r="O12" s="274"/>
      <c r="P12" s="274"/>
    </row>
    <row r="13" spans="2:16">
      <c r="B13" s="274"/>
      <c r="C13" s="274"/>
      <c r="D13" s="274"/>
      <c r="E13" s="274"/>
      <c r="F13" s="274"/>
      <c r="G13" s="274"/>
      <c r="H13" s="274"/>
      <c r="I13" s="274"/>
      <c r="J13" s="274"/>
      <c r="K13" s="274"/>
      <c r="L13" s="274"/>
      <c r="M13" s="274"/>
      <c r="N13" s="274"/>
      <c r="O13" s="274"/>
      <c r="P13" s="274"/>
    </row>
    <row r="14" spans="2:16">
      <c r="B14" s="323" t="s">
        <v>91</v>
      </c>
      <c r="C14" s="274"/>
      <c r="D14" s="274"/>
      <c r="E14" s="274"/>
      <c r="F14" s="274"/>
      <c r="G14" s="274"/>
      <c r="H14" s="274"/>
      <c r="I14" s="274"/>
      <c r="J14" s="274"/>
      <c r="K14" s="274"/>
      <c r="L14" s="274"/>
      <c r="M14" s="274"/>
      <c r="N14" s="274"/>
      <c r="O14" s="274"/>
      <c r="P14" s="274"/>
    </row>
    <row r="15" spans="2:16" ht="6" customHeight="1" thickBot="1">
      <c r="B15" s="274"/>
      <c r="C15" s="274"/>
      <c r="D15" s="274"/>
      <c r="E15" s="274"/>
      <c r="F15" s="274"/>
      <c r="G15" s="274"/>
      <c r="H15" s="274"/>
      <c r="I15" s="274"/>
      <c r="J15" s="274"/>
      <c r="K15" s="274"/>
      <c r="L15" s="274"/>
      <c r="M15" s="274"/>
      <c r="N15" s="274"/>
      <c r="O15" s="274"/>
      <c r="P15" s="274"/>
    </row>
    <row r="16" spans="2:16" ht="29.25" customHeight="1" thickBot="1">
      <c r="B16" s="330"/>
      <c r="C16" s="350" t="s">
        <v>93</v>
      </c>
      <c r="D16" s="355"/>
      <c r="E16" s="355"/>
      <c r="F16" s="355"/>
      <c r="G16" s="355"/>
      <c r="H16" s="355"/>
      <c r="I16" s="355"/>
      <c r="J16" s="355"/>
      <c r="K16" s="355"/>
      <c r="L16" s="274"/>
      <c r="M16" s="274"/>
      <c r="N16" s="274"/>
      <c r="O16" s="274"/>
      <c r="P16" s="274"/>
    </row>
    <row r="17" spans="2:25" ht="6" customHeight="1" thickBot="1">
      <c r="B17" s="328"/>
      <c r="C17" s="274"/>
      <c r="D17" s="274"/>
      <c r="E17" s="274"/>
      <c r="F17" s="274"/>
      <c r="G17" s="274"/>
      <c r="H17" s="274"/>
      <c r="I17" s="274"/>
      <c r="J17" s="274"/>
      <c r="K17" s="274"/>
      <c r="L17" s="274"/>
      <c r="M17" s="274"/>
      <c r="N17" s="274"/>
      <c r="O17" s="274"/>
      <c r="P17" s="274"/>
    </row>
    <row r="18" spans="2:25" ht="32.25" customHeight="1" thickBot="1">
      <c r="B18" s="329"/>
      <c r="C18" s="350" t="s">
        <v>94</v>
      </c>
      <c r="D18" s="355"/>
      <c r="E18" s="355"/>
      <c r="F18" s="355"/>
      <c r="G18" s="355"/>
      <c r="H18" s="355"/>
      <c r="I18" s="355"/>
      <c r="J18" s="355"/>
      <c r="K18" s="355"/>
      <c r="L18" s="274"/>
      <c r="M18" s="274"/>
      <c r="N18" s="274"/>
      <c r="O18" s="274"/>
      <c r="P18" s="274"/>
    </row>
    <row r="19" spans="2:25" ht="6" customHeight="1" thickBot="1">
      <c r="B19" s="328"/>
      <c r="D19" s="274"/>
      <c r="E19" s="274"/>
      <c r="F19" s="274"/>
      <c r="G19" s="274"/>
      <c r="H19" s="274"/>
      <c r="I19" s="274"/>
      <c r="J19" s="274"/>
      <c r="K19" s="274"/>
      <c r="L19" s="274"/>
      <c r="M19" s="274"/>
      <c r="N19" s="274"/>
      <c r="O19" s="274"/>
      <c r="P19" s="274"/>
    </row>
    <row r="20" spans="2:25" ht="32.25" customHeight="1" thickBot="1">
      <c r="B20" s="331"/>
      <c r="C20" s="350" t="s">
        <v>95</v>
      </c>
      <c r="D20" s="355"/>
      <c r="E20" s="355"/>
      <c r="F20" s="355"/>
      <c r="G20" s="355"/>
      <c r="H20" s="355"/>
      <c r="I20" s="355"/>
      <c r="J20" s="355"/>
      <c r="K20" s="355"/>
      <c r="L20" s="274"/>
      <c r="M20" s="274"/>
      <c r="N20" s="274"/>
      <c r="O20" s="274"/>
      <c r="P20" s="274"/>
    </row>
    <row r="21" spans="2:25" ht="6" customHeight="1" thickBot="1">
      <c r="B21" s="328"/>
      <c r="C21" s="274"/>
      <c r="D21" s="274"/>
      <c r="E21" s="274"/>
      <c r="F21" s="274"/>
      <c r="G21" s="274"/>
      <c r="H21" s="274"/>
      <c r="I21" s="274"/>
      <c r="J21" s="274"/>
      <c r="K21" s="274"/>
      <c r="L21" s="274"/>
      <c r="M21" s="274"/>
      <c r="N21" s="274"/>
      <c r="O21" s="274"/>
      <c r="P21" s="274"/>
    </row>
    <row r="22" spans="2:25" ht="32.25" customHeight="1" thickBot="1">
      <c r="B22" s="325"/>
      <c r="C22" s="350" t="s">
        <v>92</v>
      </c>
      <c r="D22" s="351"/>
      <c r="E22" s="351"/>
      <c r="F22" s="351"/>
      <c r="G22" s="351"/>
      <c r="H22" s="351"/>
      <c r="I22" s="351"/>
      <c r="J22" s="351"/>
      <c r="K22" s="351"/>
      <c r="L22" s="274"/>
      <c r="M22" s="274"/>
      <c r="N22" s="274"/>
      <c r="O22" s="274"/>
      <c r="P22" s="274"/>
    </row>
    <row r="23" spans="2:25" ht="6" customHeight="1">
      <c r="B23" s="328"/>
      <c r="L23" s="274"/>
      <c r="M23" s="274"/>
      <c r="N23" s="274"/>
      <c r="O23" s="274"/>
      <c r="P23" s="274"/>
    </row>
    <row r="24" spans="2:25" ht="32.25" customHeight="1">
      <c r="B24" s="328"/>
      <c r="C24" s="352" t="s">
        <v>90</v>
      </c>
      <c r="D24" s="352"/>
      <c r="E24" s="352"/>
      <c r="F24" s="352"/>
      <c r="G24" s="352"/>
      <c r="H24" s="352"/>
      <c r="I24" s="352"/>
      <c r="J24" s="352"/>
      <c r="K24" s="352"/>
      <c r="L24" s="274"/>
      <c r="M24" s="274"/>
      <c r="N24" s="274"/>
      <c r="O24" s="274"/>
      <c r="P24" s="274"/>
    </row>
    <row r="25" spans="2:25" ht="6" customHeight="1">
      <c r="B25" s="328"/>
      <c r="C25" s="332"/>
      <c r="D25" s="333"/>
      <c r="E25" s="333"/>
      <c r="F25" s="333"/>
      <c r="G25" s="333"/>
      <c r="H25" s="333"/>
      <c r="I25" s="333"/>
      <c r="J25" s="333"/>
      <c r="K25" s="333"/>
      <c r="L25" s="274"/>
      <c r="M25" s="274"/>
      <c r="N25" s="274"/>
      <c r="O25" s="274"/>
      <c r="P25" s="274"/>
    </row>
    <row r="26" spans="2:25">
      <c r="B26" s="328"/>
      <c r="C26" s="274"/>
      <c r="D26" s="274"/>
      <c r="E26" s="274"/>
      <c r="F26" s="274"/>
      <c r="G26" s="274"/>
      <c r="H26" s="274"/>
      <c r="I26" s="274"/>
      <c r="J26" s="274"/>
      <c r="K26" s="274"/>
      <c r="L26" s="274"/>
      <c r="M26" s="274"/>
      <c r="N26" s="274"/>
      <c r="O26" s="274"/>
      <c r="P26" s="274"/>
    </row>
    <row r="27" spans="2:25">
      <c r="B27" s="274"/>
      <c r="C27" s="274"/>
      <c r="D27" s="274"/>
      <c r="E27" s="274"/>
      <c r="F27" s="274"/>
      <c r="G27" s="274"/>
      <c r="H27" s="274"/>
      <c r="I27" s="274"/>
      <c r="J27" s="274"/>
      <c r="K27" s="274"/>
      <c r="L27" s="274"/>
      <c r="M27" s="274"/>
      <c r="N27" s="274"/>
      <c r="O27" s="274"/>
      <c r="P27" s="274"/>
    </row>
    <row r="28" spans="2:25">
      <c r="B28" s="274"/>
      <c r="C28" s="274"/>
      <c r="D28" s="274"/>
      <c r="E28" s="274"/>
      <c r="F28" s="274"/>
      <c r="G28" s="274"/>
      <c r="H28" s="274"/>
      <c r="I28" s="274"/>
      <c r="J28" s="274"/>
      <c r="K28" s="274"/>
      <c r="L28" s="274"/>
      <c r="M28" s="274"/>
      <c r="N28" s="274"/>
      <c r="O28" s="274"/>
      <c r="P28" s="274"/>
    </row>
    <row r="29" spans="2:25">
      <c r="B29" s="274"/>
      <c r="C29" s="274"/>
      <c r="D29" s="274"/>
      <c r="E29" s="274"/>
      <c r="F29" s="274"/>
      <c r="G29" s="274"/>
      <c r="H29" s="274"/>
      <c r="I29" s="274"/>
      <c r="J29" s="274"/>
      <c r="K29" s="274"/>
      <c r="L29" s="274"/>
      <c r="M29" s="274"/>
      <c r="N29" s="274"/>
      <c r="O29" s="274"/>
      <c r="P29" s="274"/>
    </row>
    <row r="30" spans="2:25">
      <c r="B30" s="274"/>
      <c r="C30" s="326"/>
      <c r="D30" s="274"/>
      <c r="E30" s="274"/>
      <c r="F30" s="274"/>
      <c r="G30" s="274"/>
      <c r="H30" s="274"/>
      <c r="I30" s="274"/>
      <c r="J30" s="274"/>
      <c r="K30" s="274"/>
      <c r="L30" s="274"/>
      <c r="M30" s="274"/>
      <c r="N30" s="274"/>
      <c r="O30" s="274"/>
      <c r="P30" s="274"/>
    </row>
    <row r="31" spans="2:25">
      <c r="B31" s="274"/>
      <c r="C31" s="326"/>
      <c r="D31" s="274"/>
      <c r="E31" s="274"/>
      <c r="F31" s="274"/>
      <c r="G31" s="274"/>
      <c r="H31" s="274"/>
      <c r="I31" s="274"/>
      <c r="J31" s="274"/>
      <c r="K31" s="274"/>
      <c r="L31" s="274"/>
      <c r="M31" s="274"/>
      <c r="N31" s="274"/>
      <c r="O31" s="274"/>
      <c r="P31" s="274"/>
    </row>
    <row r="32" spans="2:25">
      <c r="B32" s="274"/>
      <c r="C32" s="274"/>
      <c r="D32" s="274"/>
      <c r="E32" s="274"/>
      <c r="F32" s="274"/>
      <c r="G32" s="274"/>
      <c r="H32" s="274"/>
      <c r="I32" s="274"/>
      <c r="J32" s="274"/>
      <c r="K32" s="274"/>
      <c r="L32" s="274"/>
      <c r="M32" s="274"/>
      <c r="N32" s="274"/>
      <c r="O32" s="274"/>
      <c r="P32" s="274"/>
      <c r="Y32" s="319">
        <v>1</v>
      </c>
    </row>
    <row r="33" spans="2:16">
      <c r="B33" s="274"/>
      <c r="C33" s="274"/>
      <c r="D33" s="274"/>
      <c r="E33" s="274"/>
      <c r="F33" s="274"/>
      <c r="G33" s="274"/>
      <c r="H33" s="274"/>
      <c r="I33" s="274"/>
      <c r="J33" s="274"/>
      <c r="K33" s="274"/>
      <c r="L33" s="274"/>
      <c r="M33" s="274"/>
      <c r="N33" s="274"/>
      <c r="O33" s="274"/>
      <c r="P33" s="274"/>
    </row>
    <row r="34" spans="2:16">
      <c r="B34" s="274"/>
      <c r="C34" s="274"/>
      <c r="D34" s="274"/>
      <c r="E34" s="274"/>
      <c r="F34" s="274"/>
      <c r="G34" s="274"/>
      <c r="H34" s="274"/>
      <c r="I34" s="274"/>
      <c r="J34" s="274"/>
      <c r="K34" s="274"/>
      <c r="L34" s="274"/>
      <c r="M34" s="274"/>
      <c r="N34" s="274"/>
      <c r="O34" s="274"/>
      <c r="P34" s="274"/>
    </row>
    <row r="35" spans="2:16">
      <c r="B35" s="274"/>
      <c r="C35" s="274"/>
      <c r="D35" s="274"/>
      <c r="E35" s="274"/>
      <c r="F35" s="274"/>
      <c r="G35" s="274"/>
      <c r="H35" s="274"/>
      <c r="I35" s="274"/>
      <c r="J35" s="274"/>
      <c r="K35" s="274"/>
      <c r="L35" s="274"/>
      <c r="M35" s="274"/>
      <c r="N35" s="274"/>
      <c r="O35" s="274"/>
      <c r="P35" s="274"/>
    </row>
    <row r="36" spans="2:16">
      <c r="B36" s="274"/>
      <c r="C36" s="274"/>
      <c r="D36" s="274"/>
      <c r="E36" s="274"/>
      <c r="F36" s="274"/>
      <c r="G36" s="274"/>
      <c r="H36" s="274"/>
      <c r="I36" s="274"/>
      <c r="J36" s="274"/>
      <c r="K36" s="274"/>
      <c r="L36" s="274"/>
      <c r="M36" s="274"/>
      <c r="N36" s="274"/>
      <c r="O36" s="274"/>
      <c r="P36" s="274"/>
    </row>
  </sheetData>
  <mergeCells count="8">
    <mergeCell ref="C22:K22"/>
    <mergeCell ref="C24:K24"/>
    <mergeCell ref="B12:K12"/>
    <mergeCell ref="B7:O7"/>
    <mergeCell ref="C16:K16"/>
    <mergeCell ref="C18:K18"/>
    <mergeCell ref="C20:K20"/>
    <mergeCell ref="B8:O8"/>
  </mergeCells>
  <pageMargins left="0.7" right="0.7" top="0.75" bottom="0.75" header="0.3" footer="0.3"/>
  <pageSetup scale="85" orientation="landscape" horizontalDpi="90" verticalDpi="90" r:id="rId1"/>
  <rowBreaks count="1" manualBreakCount="1">
    <brk id="25" max="15" man="1"/>
  </rowBreaks>
  <drawing r:id="rId2"/>
  <legacyDrawing r:id="rId3"/>
  <oleObjects>
    <mc:AlternateContent xmlns:mc="http://schemas.openxmlformats.org/markup-compatibility/2006">
      <mc:Choice Requires="x14">
        <oleObject progId="Acrobat.Document.11" dvAspect="DVASPECT_ICON" shapeId="4104" r:id="rId4">
          <objectPr defaultSize="0" r:id="rId5">
            <anchor moveWithCells="1">
              <from>
                <xdr:col>13</xdr:col>
                <xdr:colOff>304800</xdr:colOff>
                <xdr:row>12</xdr:row>
                <xdr:rowOff>171450</xdr:rowOff>
              </from>
              <to>
                <xdr:col>15</xdr:col>
                <xdr:colOff>0</xdr:colOff>
                <xdr:row>16</xdr:row>
                <xdr:rowOff>28575</xdr:rowOff>
              </to>
            </anchor>
          </objectPr>
        </oleObject>
      </mc:Choice>
      <mc:Fallback>
        <oleObject progId="Acrobat.Document.11" dvAspect="DVASPECT_ICON" shapeId="4104"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tabColor theme="4"/>
    <pageSetUpPr fitToPage="1"/>
  </sheetPr>
  <dimension ref="A1:BT504"/>
  <sheetViews>
    <sheetView showGridLines="0" zoomScale="80" zoomScaleNormal="80" workbookViewId="0">
      <selection activeCell="T33" sqref="T33"/>
    </sheetView>
  </sheetViews>
  <sheetFormatPr defaultRowHeight="15"/>
  <cols>
    <col min="1" max="6" width="9.140625" style="1"/>
    <col min="7" max="7" width="10.5703125" style="1" bestFit="1" customWidth="1"/>
    <col min="8" max="16" width="9.140625" style="1"/>
    <col min="17" max="17" width="22" style="1" bestFit="1" customWidth="1"/>
    <col min="18" max="18" width="11" style="2" bestFit="1" customWidth="1"/>
    <col min="19" max="19" width="9.42578125" style="2" bestFit="1" customWidth="1"/>
    <col min="20" max="20" width="13" style="1" bestFit="1" customWidth="1"/>
    <col min="21" max="21" width="4.7109375" style="1" customWidth="1"/>
    <col min="22" max="22" width="30.7109375" style="1" customWidth="1"/>
    <col min="23" max="23" width="7.28515625" style="1" customWidth="1"/>
    <col min="24" max="24" width="7.42578125" style="1" bestFit="1" customWidth="1"/>
    <col min="25" max="25" width="13.7109375" style="3" bestFit="1" customWidth="1"/>
    <col min="26" max="26" width="17" style="1" bestFit="1" customWidth="1"/>
    <col min="27" max="27" width="16.7109375" style="1" bestFit="1" customWidth="1"/>
    <col min="28" max="28" width="9.140625" style="1"/>
    <col min="29" max="29" width="11.7109375" style="1" bestFit="1" customWidth="1"/>
    <col min="30" max="30" width="12.85546875" style="1" bestFit="1" customWidth="1"/>
    <col min="31" max="31" width="16.5703125" style="1" bestFit="1" customWidth="1"/>
    <col min="32" max="32" width="10.85546875" style="1" bestFit="1" customWidth="1"/>
    <col min="33" max="33" width="14" style="1" customWidth="1"/>
    <col min="34" max="34" width="11.5703125" style="1" customWidth="1"/>
    <col min="35" max="35" width="15" style="1" bestFit="1" customWidth="1"/>
    <col min="36" max="36" width="8.85546875" style="1" bestFit="1" customWidth="1"/>
    <col min="37" max="37" width="7" style="1" bestFit="1" customWidth="1"/>
    <col min="38" max="38" width="12" style="1" customWidth="1"/>
    <col min="39" max="39" width="9.7109375" style="1" hidden="1" customWidth="1"/>
    <col min="40" max="40" width="19.28515625" style="1" hidden="1" customWidth="1"/>
    <col min="41" max="41" width="9.140625" style="1" hidden="1" customWidth="1"/>
    <col min="42" max="42" width="33.140625" style="1" customWidth="1"/>
    <col min="43" max="43" width="2.7109375" style="1" customWidth="1"/>
    <col min="44" max="44" width="11.28515625" style="1" bestFit="1" customWidth="1"/>
    <col min="45" max="48" width="10.5703125" style="1" customWidth="1"/>
    <col min="49" max="49" width="14.85546875" style="1" customWidth="1"/>
    <col min="50" max="50" width="12" style="1" customWidth="1"/>
    <col min="51" max="51" width="12.7109375" style="1" customWidth="1"/>
    <col min="52" max="52" width="3" style="1" customWidth="1"/>
    <col min="53" max="53" width="12.5703125" style="1" customWidth="1"/>
    <col min="54" max="68" width="9.140625" style="1"/>
    <col min="69" max="69" width="2.28515625" style="1" customWidth="1"/>
    <col min="70" max="70" width="9.140625" style="1"/>
    <col min="71" max="71" width="13.5703125" style="1" customWidth="1"/>
    <col min="72" max="72" width="16" style="1" bestFit="1" customWidth="1"/>
    <col min="73" max="16384" width="9.140625" style="1"/>
  </cols>
  <sheetData>
    <row r="1" spans="1:72" ht="15.75" thickBot="1"/>
    <row r="2" spans="1:72" ht="19.5" customHeight="1" thickBot="1">
      <c r="B2" s="7"/>
      <c r="C2" s="8"/>
      <c r="D2" s="8"/>
      <c r="E2" s="8"/>
      <c r="F2" s="8"/>
      <c r="G2" s="8"/>
      <c r="H2" s="8"/>
      <c r="I2" s="8"/>
      <c r="J2" s="8"/>
      <c r="K2" s="8"/>
      <c r="L2" s="8"/>
      <c r="M2" s="8"/>
      <c r="N2" s="8"/>
      <c r="O2" s="8"/>
      <c r="P2" s="8"/>
      <c r="Q2" s="8"/>
      <c r="R2" s="9"/>
      <c r="S2" s="9"/>
      <c r="T2" s="8"/>
      <c r="U2" s="10"/>
      <c r="W2" s="114" t="s">
        <v>57</v>
      </c>
      <c r="X2" s="8"/>
      <c r="Y2" s="115"/>
      <c r="Z2" s="8"/>
      <c r="AA2" s="128"/>
      <c r="AC2" s="117" t="s">
        <v>62</v>
      </c>
      <c r="AD2" s="118"/>
      <c r="AE2" s="118"/>
      <c r="AF2" s="133" t="s">
        <v>70</v>
      </c>
      <c r="AG2" s="8"/>
      <c r="AH2" s="8"/>
      <c r="AI2" s="8"/>
      <c r="AJ2" s="8"/>
      <c r="AK2" s="122"/>
      <c r="AL2" s="119"/>
      <c r="AM2" s="111"/>
      <c r="AN2" s="381" t="s">
        <v>77</v>
      </c>
      <c r="AQ2" s="7"/>
      <c r="AR2" s="118" t="s">
        <v>40</v>
      </c>
      <c r="AS2" s="8"/>
      <c r="AT2" s="8"/>
      <c r="AU2" s="8"/>
      <c r="AV2" s="8"/>
      <c r="AW2" s="8"/>
      <c r="AX2" s="8"/>
      <c r="AY2" s="8"/>
      <c r="AZ2" s="8"/>
      <c r="BA2" s="8"/>
      <c r="BB2" s="8"/>
      <c r="BC2" s="8"/>
      <c r="BD2" s="8"/>
      <c r="BE2" s="8"/>
      <c r="BF2" s="8"/>
      <c r="BG2" s="8"/>
      <c r="BH2" s="8"/>
      <c r="BI2" s="8"/>
      <c r="BJ2" s="8"/>
      <c r="BK2" s="8"/>
      <c r="BL2" s="8"/>
      <c r="BM2" s="8"/>
      <c r="BN2" s="8"/>
      <c r="BO2" s="8"/>
      <c r="BP2" s="8"/>
      <c r="BQ2" s="116"/>
      <c r="BS2" s="140" t="s">
        <v>64</v>
      </c>
      <c r="BT2" s="141"/>
    </row>
    <row r="3" spans="1:72" ht="15.75" thickBot="1">
      <c r="B3" s="11"/>
      <c r="C3" s="12"/>
      <c r="D3" s="12"/>
      <c r="E3" s="12"/>
      <c r="F3" s="12"/>
      <c r="G3" s="12"/>
      <c r="H3" s="12"/>
      <c r="I3" s="12"/>
      <c r="J3" s="12"/>
      <c r="K3" s="12"/>
      <c r="L3" s="12"/>
      <c r="M3" s="12"/>
      <c r="N3" s="12"/>
      <c r="O3" s="12"/>
      <c r="P3" s="12"/>
      <c r="Q3" s="13" t="s">
        <v>2</v>
      </c>
      <c r="R3" s="14" t="s">
        <v>6</v>
      </c>
      <c r="S3" s="14" t="s">
        <v>36</v>
      </c>
      <c r="T3" s="15" t="s">
        <v>8</v>
      </c>
      <c r="U3" s="16"/>
      <c r="W3" s="143" t="s">
        <v>3</v>
      </c>
      <c r="X3" s="144" t="s">
        <v>4</v>
      </c>
      <c r="Y3" s="145" t="s">
        <v>67</v>
      </c>
      <c r="Z3" s="146" t="s">
        <v>68</v>
      </c>
      <c r="AA3" s="147" t="s">
        <v>69</v>
      </c>
      <c r="AC3" s="134"/>
      <c r="AD3" s="363" t="s">
        <v>65</v>
      </c>
      <c r="AE3" s="364"/>
      <c r="AF3" s="378" t="s">
        <v>66</v>
      </c>
      <c r="AG3" s="379"/>
      <c r="AH3" s="379"/>
      <c r="AI3" s="380"/>
      <c r="AJ3" s="363" t="s">
        <v>97</v>
      </c>
      <c r="AK3" s="363"/>
      <c r="AL3" s="365"/>
      <c r="AM3" s="111"/>
      <c r="AN3" s="382"/>
      <c r="AQ3" s="11"/>
      <c r="AR3" s="202" t="s">
        <v>41</v>
      </c>
      <c r="AS3" s="203"/>
      <c r="AT3" s="203"/>
      <c r="AU3" s="203"/>
      <c r="AV3" s="203"/>
      <c r="AW3" s="203"/>
      <c r="AX3" s="204"/>
      <c r="AY3" s="85"/>
      <c r="AZ3" s="85"/>
      <c r="BA3" s="202" t="s">
        <v>42</v>
      </c>
      <c r="BB3" s="203"/>
      <c r="BC3" s="203"/>
      <c r="BD3" s="203"/>
      <c r="BE3" s="203"/>
      <c r="BF3" s="203"/>
      <c r="BG3" s="203"/>
      <c r="BH3" s="203"/>
      <c r="BI3" s="203"/>
      <c r="BJ3" s="203"/>
      <c r="BK3" s="203"/>
      <c r="BL3" s="203"/>
      <c r="BM3" s="203"/>
      <c r="BN3" s="203"/>
      <c r="BO3" s="203"/>
      <c r="BP3" s="204"/>
      <c r="BQ3" s="65"/>
      <c r="BS3" s="13" t="s">
        <v>67</v>
      </c>
      <c r="BT3" s="142" t="s">
        <v>72</v>
      </c>
    </row>
    <row r="4" spans="1:72" ht="15.75" thickBot="1">
      <c r="B4" s="11"/>
      <c r="C4" s="12"/>
      <c r="D4" s="12"/>
      <c r="E4" s="12"/>
      <c r="F4" s="12"/>
      <c r="G4" s="12"/>
      <c r="H4" s="12"/>
      <c r="I4" s="12"/>
      <c r="J4" s="12"/>
      <c r="K4" s="12"/>
      <c r="L4" s="12"/>
      <c r="M4" s="12"/>
      <c r="N4" s="12"/>
      <c r="O4" s="12"/>
      <c r="P4" s="12"/>
      <c r="Q4" s="18" t="s">
        <v>9</v>
      </c>
      <c r="R4" s="19">
        <f>COUNTIF(AF8:AF52,"&gt;0")</f>
        <v>45</v>
      </c>
      <c r="S4" s="20">
        <f>COUNTIF(AG8:AG52,"&gt;0")</f>
        <v>8</v>
      </c>
      <c r="T4" s="21">
        <f>COUNTIF(AH8:AH52,"&gt;0")</f>
        <v>29</v>
      </c>
      <c r="U4" s="22"/>
      <c r="V4" s="17"/>
      <c r="W4" s="148">
        <v>36495</v>
      </c>
      <c r="X4" s="149">
        <v>12</v>
      </c>
      <c r="Y4" s="150">
        <v>45.1</v>
      </c>
      <c r="Z4" s="151">
        <f>VLOOKUP(Y4,$BS$4:$BT$1905,2)</f>
        <v>77212.750074649157</v>
      </c>
      <c r="AA4" s="152"/>
      <c r="AC4" s="166" t="s">
        <v>35</v>
      </c>
      <c r="AD4" s="167" t="s">
        <v>63</v>
      </c>
      <c r="AE4" s="168" t="s">
        <v>100</v>
      </c>
      <c r="AF4" s="169" t="s">
        <v>6</v>
      </c>
      <c r="AG4" s="170" t="s">
        <v>36</v>
      </c>
      <c r="AH4" s="170" t="s">
        <v>37</v>
      </c>
      <c r="AI4" s="171" t="s">
        <v>33</v>
      </c>
      <c r="AJ4" s="167" t="s">
        <v>6</v>
      </c>
      <c r="AK4" s="167" t="s">
        <v>36</v>
      </c>
      <c r="AL4" s="172" t="s">
        <v>8</v>
      </c>
      <c r="AM4" s="17"/>
      <c r="AN4" s="275">
        <v>1</v>
      </c>
      <c r="AQ4" s="11"/>
      <c r="AR4" s="217" t="s">
        <v>73</v>
      </c>
      <c r="AS4" s="218" t="s">
        <v>4</v>
      </c>
      <c r="AT4" s="218">
        <v>0.1</v>
      </c>
      <c r="AU4" s="218">
        <v>0.25</v>
      </c>
      <c r="AV4" s="218">
        <v>0.5</v>
      </c>
      <c r="AW4" s="218">
        <v>0.75</v>
      </c>
      <c r="AX4" s="219">
        <v>0.95</v>
      </c>
      <c r="AY4" s="86"/>
      <c r="AZ4" s="86"/>
      <c r="BA4" s="205" t="s">
        <v>43</v>
      </c>
      <c r="BB4" s="206">
        <v>2000</v>
      </c>
      <c r="BC4" s="206">
        <f>BB4+1</f>
        <v>2001</v>
      </c>
      <c r="BD4" s="206">
        <f t="shared" ref="BD4:BM4" si="0">BC4+1</f>
        <v>2002</v>
      </c>
      <c r="BE4" s="206">
        <f t="shared" si="0"/>
        <v>2003</v>
      </c>
      <c r="BF4" s="206">
        <f t="shared" si="0"/>
        <v>2004</v>
      </c>
      <c r="BG4" s="206">
        <f t="shared" si="0"/>
        <v>2005</v>
      </c>
      <c r="BH4" s="206">
        <f t="shared" si="0"/>
        <v>2006</v>
      </c>
      <c r="BI4" s="206">
        <f>BH4+1</f>
        <v>2007</v>
      </c>
      <c r="BJ4" s="206">
        <f t="shared" si="0"/>
        <v>2008</v>
      </c>
      <c r="BK4" s="206">
        <f t="shared" si="0"/>
        <v>2009</v>
      </c>
      <c r="BL4" s="206">
        <f>BK4+1</f>
        <v>2010</v>
      </c>
      <c r="BM4" s="206">
        <f t="shared" si="0"/>
        <v>2011</v>
      </c>
      <c r="BN4" s="206">
        <f>BM4+1</f>
        <v>2012</v>
      </c>
      <c r="BO4" s="206">
        <f>BN4+1</f>
        <v>2013</v>
      </c>
      <c r="BP4" s="207">
        <f>BO4+1</f>
        <v>2014</v>
      </c>
      <c r="BQ4" s="65"/>
      <c r="BS4" s="200">
        <v>0.01</v>
      </c>
      <c r="BT4" s="201">
        <v>0</v>
      </c>
    </row>
    <row r="5" spans="1:72" ht="15.75" thickBot="1">
      <c r="B5" s="11"/>
      <c r="C5" s="12"/>
      <c r="D5" s="12"/>
      <c r="E5" s="12"/>
      <c r="F5" s="12"/>
      <c r="G5" s="12"/>
      <c r="H5" s="12"/>
      <c r="I5" s="12"/>
      <c r="J5" s="12"/>
      <c r="K5" s="12"/>
      <c r="L5" s="12"/>
      <c r="M5" s="12"/>
      <c r="N5" s="12"/>
      <c r="O5" s="12"/>
      <c r="P5" s="12"/>
      <c r="Q5" s="24" t="s">
        <v>98</v>
      </c>
      <c r="R5" s="112">
        <f>COUNTIF(AJ8:AJ52,"No")</f>
        <v>45</v>
      </c>
      <c r="S5" s="25">
        <f>COUNTIF(AK8:AK52,"No")</f>
        <v>6</v>
      </c>
      <c r="T5" s="26">
        <f>COUNTIF(AL8:AL52,"No")</f>
        <v>20</v>
      </c>
      <c r="U5" s="27"/>
      <c r="V5" s="28"/>
      <c r="W5" s="153">
        <v>36526</v>
      </c>
      <c r="X5" s="154">
        <v>1</v>
      </c>
      <c r="Y5" s="155">
        <v>45.3</v>
      </c>
      <c r="Z5" s="156">
        <f>VLOOKUP(Y5,$BS$4:$BT$1905,2)</f>
        <v>78120.981387478852</v>
      </c>
      <c r="AA5" s="157">
        <f t="shared" ref="AA5:AA14" si="1">Z5-Z4</f>
        <v>908.23131282969553</v>
      </c>
      <c r="AC5" s="173">
        <f>DATE(YEAR(AC7),MONTH(AC7)-2,DAY(AC7))</f>
        <v>42339</v>
      </c>
      <c r="AD5" s="174">
        <f>R18</f>
        <v>100000</v>
      </c>
      <c r="AE5" s="175">
        <f>AD5*Q22</f>
        <v>20000</v>
      </c>
      <c r="AF5" s="176">
        <f>VLOOKUP(AC5,W:Z,4,FALSE)</f>
        <v>100000</v>
      </c>
      <c r="AG5" s="177">
        <f>VLOOKUP(AC5,W:Z,4,FALSE)</f>
        <v>100000</v>
      </c>
      <c r="AH5" s="177">
        <f>VLOOKUP(AC5,W:Z,4,FALSE)</f>
        <v>100000</v>
      </c>
      <c r="AI5" s="178">
        <f>VLOOKUP(AC5,W:Z,4,FALSE)</f>
        <v>100000</v>
      </c>
      <c r="AJ5" s="179" t="str">
        <f t="shared" ref="AJ5:AJ52" si="2">IF(AF5&gt;AE5,"No","Yes")</f>
        <v>No</v>
      </c>
      <c r="AK5" s="180" t="str">
        <f t="shared" ref="AK5:AK52" si="3">IF(AG5&gt;AE5,"No","Yes")</f>
        <v>No</v>
      </c>
      <c r="AL5" s="181" t="str">
        <f t="shared" ref="AL5:AL52" si="4">IF(AH5&gt;AE5,"No","Yes")</f>
        <v>No</v>
      </c>
      <c r="AM5" s="113"/>
      <c r="AN5" s="12"/>
      <c r="AQ5" s="11"/>
      <c r="AR5" s="220">
        <v>1</v>
      </c>
      <c r="AS5" s="209" t="s">
        <v>10</v>
      </c>
      <c r="AT5" s="209">
        <f>_xlfn.PERCENTILE.INC($BB5:$BP5,AT$4)</f>
        <v>-4732.6714442121938</v>
      </c>
      <c r="AU5" s="209">
        <f>_xlfn.PERCENTILE.INC($BB5:$BP5,AU$4)</f>
        <v>-2365.4573504528817</v>
      </c>
      <c r="AV5" s="209">
        <f>_xlfn.PERCENTILE.INC($BB5:$BP5,AV$4)</f>
        <v>4643.3512491290894</v>
      </c>
      <c r="AW5" s="209">
        <f>_xlfn.PERCENTILE.INC($BB5:$BP5,AW$4)</f>
        <v>8188.849905444411</v>
      </c>
      <c r="AX5" s="210">
        <f>_xlfn.PERCENTILE.INC($BB5:$BP5,AX$4)</f>
        <v>11902.709764108691</v>
      </c>
      <c r="AY5" s="87"/>
      <c r="AZ5" s="87"/>
      <c r="BA5" s="208">
        <v>1</v>
      </c>
      <c r="BB5" s="209">
        <f t="shared" ref="BB5:BO16" si="5">INDEX($W$5:$AA$176,MATCH(DATE(BB$4,$BA5,1),$W$5:$W$176,0),5)</f>
        <v>908.23131282969553</v>
      </c>
      <c r="BC5" s="209">
        <f t="shared" si="5"/>
        <v>9306.4596396934285</v>
      </c>
      <c r="BD5" s="209">
        <f t="shared" si="5"/>
        <v>4643.3512491290894</v>
      </c>
      <c r="BE5" s="209">
        <f t="shared" si="5"/>
        <v>-5209.9382900368219</v>
      </c>
      <c r="BF5" s="209">
        <f t="shared" si="5"/>
        <v>7843.3363192992983</v>
      </c>
      <c r="BG5" s="209">
        <f t="shared" si="5"/>
        <v>-1432.0443913606141</v>
      </c>
      <c r="BH5" s="209">
        <f t="shared" si="5"/>
        <v>5037.8720015925137</v>
      </c>
      <c r="BI5" s="209">
        <f t="shared" si="5"/>
        <v>14550.213994227131</v>
      </c>
      <c r="BJ5" s="209">
        <f t="shared" si="5"/>
        <v>-9287.9466507415054</v>
      </c>
      <c r="BK5" s="209">
        <f t="shared" si="5"/>
        <v>2211.3566238678177</v>
      </c>
      <c r="BL5" s="209">
        <f t="shared" si="5"/>
        <v>-3298.8703095451492</v>
      </c>
      <c r="BM5" s="209">
        <f t="shared" si="5"/>
        <v>10768.065094057936</v>
      </c>
      <c r="BN5" s="209">
        <f t="shared" si="5"/>
        <v>8534.3634915895236</v>
      </c>
      <c r="BO5" s="209">
        <f t="shared" si="5"/>
        <v>5717.7266845824561</v>
      </c>
      <c r="BP5" s="210">
        <f t="shared" ref="BP5:BP16" si="6">INDEX($W$5:$AA$210,MATCH(DATE(BP$4,$BA5,1),$W$5:$W$210,0),5)</f>
        <v>-4016.7711754752527</v>
      </c>
      <c r="BQ5" s="65"/>
      <c r="BS5" s="135">
        <v>0.1</v>
      </c>
      <c r="BT5" s="136">
        <v>0</v>
      </c>
    </row>
    <row r="6" spans="1:72" ht="15.75" thickBot="1">
      <c r="B6" s="11"/>
      <c r="C6" s="12"/>
      <c r="D6" s="12"/>
      <c r="E6" s="12"/>
      <c r="F6" s="12"/>
      <c r="G6" s="12"/>
      <c r="H6" s="12"/>
      <c r="I6" s="12"/>
      <c r="J6" s="12"/>
      <c r="K6" s="12"/>
      <c r="L6" s="12"/>
      <c r="M6" s="12"/>
      <c r="N6" s="12"/>
      <c r="O6" s="12"/>
      <c r="P6" s="12"/>
      <c r="Q6" s="12"/>
      <c r="R6" s="23"/>
      <c r="S6" s="23"/>
      <c r="T6" s="12"/>
      <c r="U6" s="27"/>
      <c r="V6" s="29"/>
      <c r="W6" s="153">
        <f t="shared" ref="W6:W69" si="7">DATE(YEAR(W5),MONTH(W5)+1,DAY(W5))</f>
        <v>36557</v>
      </c>
      <c r="X6" s="154">
        <v>2</v>
      </c>
      <c r="Y6" s="155">
        <v>47.7</v>
      </c>
      <c r="Z6" s="156">
        <f>VLOOKUP(Y6,$BS$4:$BT$1905,2)</f>
        <v>89156.837862048371</v>
      </c>
      <c r="AA6" s="157">
        <f t="shared" si="1"/>
        <v>11035.856474569518</v>
      </c>
      <c r="AC6" s="182">
        <f>DATE(YEAR(AC7),MONTH(AC7)-1,DAY(AC7))</f>
        <v>42370</v>
      </c>
      <c r="AD6" s="183">
        <f>R18</f>
        <v>100000</v>
      </c>
      <c r="AE6" s="184">
        <f>AD6*Q22</f>
        <v>20000</v>
      </c>
      <c r="AF6" s="185">
        <f>VLOOKUP(AC6,W:Z,4,FALSE)</f>
        <v>99522.34497860058</v>
      </c>
      <c r="AG6" s="186">
        <f>VLOOKUP(AC6,W:Z,4,FALSE)</f>
        <v>99522.34497860058</v>
      </c>
      <c r="AH6" s="186">
        <f>VLOOKUP(AC6,W:Z,4,FALSE)</f>
        <v>99522.34497860058</v>
      </c>
      <c r="AI6" s="187">
        <f>VLOOKUP(AC6,W:Z,4,FALSE)</f>
        <v>99522.34497860058</v>
      </c>
      <c r="AJ6" s="188" t="str">
        <f t="shared" si="2"/>
        <v>No</v>
      </c>
      <c r="AK6" s="189" t="str">
        <f t="shared" si="3"/>
        <v>No</v>
      </c>
      <c r="AL6" s="190" t="str">
        <f t="shared" si="4"/>
        <v>No</v>
      </c>
      <c r="AM6" s="113"/>
      <c r="AN6" s="12"/>
      <c r="AQ6" s="11"/>
      <c r="AR6" s="221">
        <v>2</v>
      </c>
      <c r="AS6" s="212" t="s">
        <v>13</v>
      </c>
      <c r="AT6" s="212">
        <f t="shared" ref="AT6:AX16" si="8">_xlfn.PERCENTILE.INC($BB6:$BP6,AT$4)</f>
        <v>-4833.5622573902601</v>
      </c>
      <c r="AU6" s="212">
        <f t="shared" si="8"/>
        <v>483.58962874489225</v>
      </c>
      <c r="AV6" s="212">
        <f t="shared" si="8"/>
        <v>3189.4844232109172</v>
      </c>
      <c r="AW6" s="212">
        <f t="shared" si="8"/>
        <v>8100.6892604757668</v>
      </c>
      <c r="AX6" s="213">
        <f t="shared" si="8"/>
        <v>14981.195879366973</v>
      </c>
      <c r="AY6" s="87"/>
      <c r="AZ6" s="87"/>
      <c r="BA6" s="211">
        <f>BA5+1</f>
        <v>2</v>
      </c>
      <c r="BB6" s="212">
        <f t="shared" si="5"/>
        <v>11035.856474569518</v>
      </c>
      <c r="BC6" s="212">
        <f t="shared" si="5"/>
        <v>18865.108987757558</v>
      </c>
      <c r="BD6" s="212">
        <f t="shared" si="5"/>
        <v>9445.1826415845571</v>
      </c>
      <c r="BE6" s="212">
        <f t="shared" si="5"/>
        <v>1885.9609833781287</v>
      </c>
      <c r="BF6" s="212">
        <f t="shared" si="5"/>
        <v>3269.1599482432648</v>
      </c>
      <c r="BG6" s="212">
        <f t="shared" si="5"/>
        <v>-1426.3212899372884</v>
      </c>
      <c r="BH6" s="212">
        <f t="shared" si="5"/>
        <v>13316.661690056731</v>
      </c>
      <c r="BI6" s="212">
        <f t="shared" si="5"/>
        <v>-7105.0562356922455</v>
      </c>
      <c r="BJ6" s="212">
        <f t="shared" si="5"/>
        <v>-918.78172588834423</v>
      </c>
      <c r="BK6" s="212">
        <f t="shared" si="5"/>
        <v>-8659.8487110580245</v>
      </c>
      <c r="BL6" s="212">
        <f t="shared" si="5"/>
        <v>4721.3844928834587</v>
      </c>
      <c r="BM6" s="212">
        <f t="shared" si="5"/>
        <v>1903.0058723997208</v>
      </c>
      <c r="BN6" s="212">
        <f t="shared" si="5"/>
        <v>3189.4844232109172</v>
      </c>
      <c r="BO6" s="212">
        <f t="shared" si="5"/>
        <v>6756.1958793669764</v>
      </c>
      <c r="BP6" s="213">
        <f t="shared" si="6"/>
        <v>3119.3639892505307</v>
      </c>
      <c r="BQ6" s="65"/>
      <c r="BS6" s="135">
        <v>0.2</v>
      </c>
      <c r="BT6" s="136">
        <v>0</v>
      </c>
    </row>
    <row r="7" spans="1:72" ht="15.75" thickBot="1">
      <c r="B7" s="11"/>
      <c r="C7" s="12"/>
      <c r="D7" s="12"/>
      <c r="E7" s="12"/>
      <c r="F7" s="12"/>
      <c r="G7" s="12"/>
      <c r="H7" s="12"/>
      <c r="I7" s="12"/>
      <c r="J7" s="12"/>
      <c r="K7" s="12"/>
      <c r="L7" s="12"/>
      <c r="M7" s="12"/>
      <c r="N7" s="12"/>
      <c r="O7" s="12"/>
      <c r="P7" s="12"/>
      <c r="Q7" s="30" t="s">
        <v>16</v>
      </c>
      <c r="R7" s="31" t="s">
        <v>17</v>
      </c>
      <c r="S7" s="31" t="s">
        <v>18</v>
      </c>
      <c r="T7" s="15" t="s">
        <v>19</v>
      </c>
      <c r="U7" s="27"/>
      <c r="W7" s="153">
        <f t="shared" si="7"/>
        <v>36586</v>
      </c>
      <c r="X7" s="154">
        <v>3</v>
      </c>
      <c r="Y7" s="155">
        <v>50.1</v>
      </c>
      <c r="Z7" s="156">
        <v>95100</v>
      </c>
      <c r="AA7" s="157">
        <f t="shared" si="1"/>
        <v>5943.1621379516291</v>
      </c>
      <c r="AC7" s="191">
        <f>INDEX(W173:W208,COUNTA(Y173:Y208))</f>
        <v>42401</v>
      </c>
      <c r="AD7" s="192">
        <f>R18</f>
        <v>100000</v>
      </c>
      <c r="AE7" s="193">
        <f>AD7*Q22</f>
        <v>20000</v>
      </c>
      <c r="AF7" s="194">
        <f>VLOOKUP(AC7,W:Z,4,FALSE)</f>
        <v>97141.634318702098</v>
      </c>
      <c r="AG7" s="195">
        <f>VLOOKUP(AC7,W:Z,4,FALSE)</f>
        <v>97141.634318702098</v>
      </c>
      <c r="AH7" s="195">
        <f>VLOOKUP(AC7,W:Z,4,FALSE)</f>
        <v>97141.634318702098</v>
      </c>
      <c r="AI7" s="196">
        <f>VLOOKUP(AC7,W:Z,4,FALSE)</f>
        <v>97141.634318702098</v>
      </c>
      <c r="AJ7" s="197" t="str">
        <f t="shared" si="2"/>
        <v>No</v>
      </c>
      <c r="AK7" s="198" t="str">
        <f t="shared" si="3"/>
        <v>No</v>
      </c>
      <c r="AL7" s="199" t="str">
        <f t="shared" si="4"/>
        <v>No</v>
      </c>
      <c r="AM7" s="113"/>
      <c r="AN7" s="12"/>
      <c r="AQ7" s="11"/>
      <c r="AR7" s="221">
        <v>3</v>
      </c>
      <c r="AS7" s="212" t="s">
        <v>14</v>
      </c>
      <c r="AT7" s="212">
        <f t="shared" si="8"/>
        <v>-3380.0388175574726</v>
      </c>
      <c r="AU7" s="212">
        <f t="shared" si="8"/>
        <v>-8.7215089081437327</v>
      </c>
      <c r="AV7" s="212">
        <f t="shared" si="8"/>
        <v>4674.0021897083643</v>
      </c>
      <c r="AW7" s="212">
        <f t="shared" si="8"/>
        <v>9437.0832089180803</v>
      </c>
      <c r="AX7" s="213">
        <f t="shared" si="8"/>
        <v>15471.037623171098</v>
      </c>
      <c r="AY7" s="87"/>
      <c r="AZ7" s="87"/>
      <c r="BA7" s="211">
        <f t="shared" ref="BA7:BA16" si="9">BA6+1</f>
        <v>3</v>
      </c>
      <c r="BB7" s="212">
        <f t="shared" si="5"/>
        <v>5943.1621379516291</v>
      </c>
      <c r="BC7" s="212">
        <f t="shared" si="5"/>
        <v>6635.5877376331191</v>
      </c>
      <c r="BD7" s="212">
        <f t="shared" si="5"/>
        <v>-1000</v>
      </c>
      <c r="BE7" s="212">
        <f t="shared" si="5"/>
        <v>1420.9714342589723</v>
      </c>
      <c r="BF7" s="212">
        <f t="shared" si="5"/>
        <v>4674.0021897083643</v>
      </c>
      <c r="BG7" s="212">
        <f t="shared" si="5"/>
        <v>2858.3656812979025</v>
      </c>
      <c r="BH7" s="212">
        <f t="shared" si="5"/>
        <v>15295.879366975219</v>
      </c>
      <c r="BI7" s="212">
        <f t="shared" si="5"/>
        <v>4721.3844928834587</v>
      </c>
      <c r="BJ7" s="212">
        <f t="shared" si="5"/>
        <v>15879.740220961481</v>
      </c>
      <c r="BK7" s="212">
        <f t="shared" si="5"/>
        <v>12238.578680203042</v>
      </c>
      <c r="BL7" s="212">
        <f t="shared" si="5"/>
        <v>-474.69393848911568</v>
      </c>
      <c r="BM7" s="212">
        <f t="shared" si="5"/>
        <v>-7555.265253309437</v>
      </c>
      <c r="BN7" s="212">
        <f t="shared" si="5"/>
        <v>457.25092067282822</v>
      </c>
      <c r="BO7" s="212">
        <f t="shared" si="5"/>
        <v>-4966.7313625957904</v>
      </c>
      <c r="BP7" s="213">
        <f t="shared" si="6"/>
        <v>12736.538270130375</v>
      </c>
      <c r="BQ7" s="65"/>
      <c r="BS7" s="135">
        <v>0.3</v>
      </c>
      <c r="BT7" s="136">
        <v>0</v>
      </c>
    </row>
    <row r="8" spans="1:72">
      <c r="B8" s="11"/>
      <c r="C8" s="12"/>
      <c r="D8" s="12"/>
      <c r="E8" s="12"/>
      <c r="F8" s="12"/>
      <c r="G8" s="12"/>
      <c r="H8" s="12"/>
      <c r="I8" s="12"/>
      <c r="J8" s="12"/>
      <c r="K8" s="12"/>
      <c r="L8" s="12"/>
      <c r="M8" s="12"/>
      <c r="N8" s="12"/>
      <c r="O8" s="12"/>
      <c r="P8" s="12"/>
      <c r="Q8" s="32" t="s">
        <v>59</v>
      </c>
      <c r="R8" s="33">
        <v>600</v>
      </c>
      <c r="S8" s="34">
        <f>T8/R8/8760</f>
        <v>0.66495433789954339</v>
      </c>
      <c r="T8" s="35">
        <v>3495000</v>
      </c>
      <c r="U8" s="27"/>
      <c r="W8" s="153">
        <f t="shared" si="7"/>
        <v>36617</v>
      </c>
      <c r="X8" s="154">
        <v>4</v>
      </c>
      <c r="Y8" s="155">
        <v>50.4</v>
      </c>
      <c r="Z8" s="156">
        <f t="shared" ref="Z8:Z30" si="10">VLOOKUP(Y8,$BS$4:$BT$1905,2)</f>
        <v>100000</v>
      </c>
      <c r="AA8" s="157">
        <f t="shared" si="1"/>
        <v>4900</v>
      </c>
      <c r="AC8" s="173">
        <f>DATE(YEAR(AC7),MONTH(AC7)+1,DAY(AC7))</f>
        <v>42430</v>
      </c>
      <c r="AD8" s="174">
        <f>R18</f>
        <v>100000</v>
      </c>
      <c r="AE8" s="175">
        <f>AD8*Q22</f>
        <v>20000</v>
      </c>
      <c r="AF8" s="176">
        <f t="shared" ref="AF8:AF52" si="11">AF7+VLOOKUP((MONTH(AC8)),$AR$20:$AX$31,4)</f>
        <v>101732.6190239209</v>
      </c>
      <c r="AG8" s="177">
        <f t="shared" ref="AG8:AG52" si="12">AG7+VLOOKUP((MONTH(AC8)),$AR$20:$AX$31,5)</f>
        <v>89586.369065392661</v>
      </c>
      <c r="AH8" s="177">
        <f t="shared" ref="AH8:AH52" si="13">AH7+VLOOKUP((MONTH(AC8)),$AR$20:$AX$31,7)</f>
        <v>97141.634318702098</v>
      </c>
      <c r="AI8" s="178">
        <f t="shared" ref="AI8:AI52" si="14">IF(AI7+INDEX($AT$5:$AX$16,MATCH(MONTH(AC8),$BA$5:$BA$16,0),$AN$4)&gt;AD8,AD8,AI7+INDEX($AT$5:$AX$16,MATCH(MONTH(AC8),$BA$5:$BA$16,0),$AN$4))</f>
        <v>93761.59550114462</v>
      </c>
      <c r="AJ8" s="179" t="str">
        <f t="shared" si="2"/>
        <v>No</v>
      </c>
      <c r="AK8" s="180" t="str">
        <f t="shared" si="3"/>
        <v>No</v>
      </c>
      <c r="AL8" s="181" t="str">
        <f t="shared" si="4"/>
        <v>No</v>
      </c>
      <c r="AM8" s="23"/>
      <c r="AN8" s="12"/>
      <c r="AQ8" s="11"/>
      <c r="AR8" s="221">
        <v>4</v>
      </c>
      <c r="AS8" s="212" t="s">
        <v>15</v>
      </c>
      <c r="AT8" s="212">
        <f t="shared" si="8"/>
        <v>-3438.0511595501171</v>
      </c>
      <c r="AU8" s="212">
        <f t="shared" si="8"/>
        <v>-216.36807007066818</v>
      </c>
      <c r="AV8" s="212">
        <f t="shared" si="8"/>
        <v>1000</v>
      </c>
      <c r="AW8" s="212">
        <f t="shared" si="8"/>
        <v>4287.4017119538184</v>
      </c>
      <c r="AX8" s="213">
        <f t="shared" si="8"/>
        <v>11602.34497860058</v>
      </c>
      <c r="AY8" s="87"/>
      <c r="AZ8" s="87"/>
      <c r="BA8" s="211">
        <f t="shared" si="9"/>
        <v>4</v>
      </c>
      <c r="BB8" s="212">
        <f t="shared" si="5"/>
        <v>4900</v>
      </c>
      <c r="BC8" s="212">
        <f t="shared" si="5"/>
        <v>0</v>
      </c>
      <c r="BD8" s="212">
        <f t="shared" si="5"/>
        <v>1000</v>
      </c>
      <c r="BE8" s="212">
        <f t="shared" si="5"/>
        <v>2858.3656812979025</v>
      </c>
      <c r="BF8" s="212">
        <f t="shared" si="5"/>
        <v>-432.73614014133636</v>
      </c>
      <c r="BG8" s="212">
        <f t="shared" si="5"/>
        <v>-5223.3004877077765</v>
      </c>
      <c r="BH8" s="212">
        <f t="shared" si="5"/>
        <v>10516.328257191213</v>
      </c>
      <c r="BI8" s="212">
        <f t="shared" si="5"/>
        <v>951.6273514481727</v>
      </c>
      <c r="BJ8" s="212">
        <f t="shared" si="5"/>
        <v>476.68458246243245</v>
      </c>
      <c r="BK8" s="212">
        <f t="shared" si="5"/>
        <v>10501.388474171399</v>
      </c>
      <c r="BL8" s="212">
        <f t="shared" si="5"/>
        <v>2858.3656812979025</v>
      </c>
      <c r="BM8" s="212">
        <f t="shared" si="5"/>
        <v>-5115.8057131482201</v>
      </c>
      <c r="BN8" s="212">
        <f t="shared" si="5"/>
        <v>3674.8034239076369</v>
      </c>
      <c r="BO8" s="212">
        <f t="shared" si="5"/>
        <v>14136.383995222452</v>
      </c>
      <c r="BP8" s="213">
        <f t="shared" si="6"/>
        <v>-921.41932915296638</v>
      </c>
      <c r="BQ8" s="65"/>
      <c r="BS8" s="135">
        <v>0.4</v>
      </c>
      <c r="BT8" s="136">
        <v>0</v>
      </c>
    </row>
    <row r="9" spans="1:72">
      <c r="B9" s="11"/>
      <c r="C9" s="12"/>
      <c r="D9" s="12"/>
      <c r="E9" s="12"/>
      <c r="F9" s="12"/>
      <c r="G9" s="12"/>
      <c r="H9" s="12"/>
      <c r="I9" s="12"/>
      <c r="J9" s="12"/>
      <c r="K9" s="12"/>
      <c r="L9" s="12"/>
      <c r="M9" s="12"/>
      <c r="N9" s="12"/>
      <c r="O9" s="12"/>
      <c r="P9" s="12"/>
      <c r="Q9" s="88"/>
      <c r="R9" s="33"/>
      <c r="S9" s="34"/>
      <c r="T9" s="109"/>
      <c r="U9" s="27"/>
      <c r="W9" s="153">
        <f t="shared" si="7"/>
        <v>36647</v>
      </c>
      <c r="X9" s="154">
        <v>5</v>
      </c>
      <c r="Y9" s="155">
        <v>49.3</v>
      </c>
      <c r="Z9" s="156">
        <f t="shared" si="10"/>
        <v>96667.263859858664</v>
      </c>
      <c r="AA9" s="157">
        <f t="shared" si="1"/>
        <v>-3332.7361401413364</v>
      </c>
      <c r="AC9" s="182">
        <f t="shared" ref="AC9:AC52" si="15">DATE(YEAR(AC8),MONTH(AC8)+1,DAY(AC8))</f>
        <v>42461</v>
      </c>
      <c r="AD9" s="183">
        <f t="shared" ref="AD9:AD52" si="16">$R$18</f>
        <v>100000</v>
      </c>
      <c r="AE9" s="184">
        <f t="shared" ref="AE9:AE52" si="17">AD9*$Q$22</f>
        <v>20000</v>
      </c>
      <c r="AF9" s="185">
        <f t="shared" si="11"/>
        <v>104411.33140904416</v>
      </c>
      <c r="AG9" s="186">
        <f t="shared" si="12"/>
        <v>84363.068577684884</v>
      </c>
      <c r="AH9" s="186">
        <f t="shared" si="13"/>
        <v>97141.634318702098</v>
      </c>
      <c r="AI9" s="187">
        <f t="shared" si="14"/>
        <v>90323.544341594505</v>
      </c>
      <c r="AJ9" s="188" t="str">
        <f t="shared" si="2"/>
        <v>No</v>
      </c>
      <c r="AK9" s="189" t="str">
        <f t="shared" si="3"/>
        <v>No</v>
      </c>
      <c r="AL9" s="190" t="str">
        <f t="shared" si="4"/>
        <v>No</v>
      </c>
      <c r="AM9" s="23"/>
      <c r="AN9" s="12"/>
      <c r="AQ9" s="11"/>
      <c r="AR9" s="221">
        <v>5</v>
      </c>
      <c r="AS9" s="212" t="s">
        <v>20</v>
      </c>
      <c r="AT9" s="212">
        <f t="shared" si="8"/>
        <v>-6900.8858365681344</v>
      </c>
      <c r="AU9" s="212">
        <f t="shared" si="8"/>
        <v>-4645.0308549815818</v>
      </c>
      <c r="AV9" s="212">
        <f t="shared" si="8"/>
        <v>-952.97103613018407</v>
      </c>
      <c r="AW9" s="212">
        <f t="shared" si="8"/>
        <v>6818.9758136757227</v>
      </c>
      <c r="AX9" s="213">
        <f t="shared" si="8"/>
        <v>12680.32099134069</v>
      </c>
      <c r="AY9" s="87"/>
      <c r="AZ9" s="87"/>
      <c r="BA9" s="211">
        <f t="shared" si="9"/>
        <v>5</v>
      </c>
      <c r="BB9" s="212">
        <f t="shared" si="5"/>
        <v>-3332.7361401413364</v>
      </c>
      <c r="BC9" s="212">
        <f t="shared" si="5"/>
        <v>-7105.0562356922455</v>
      </c>
      <c r="BD9" s="212">
        <f t="shared" si="5"/>
        <v>-1908.3308450283657</v>
      </c>
      <c r="BE9" s="212">
        <f t="shared" si="5"/>
        <v>-7574.0021897083643</v>
      </c>
      <c r="BF9" s="212">
        <f t="shared" si="5"/>
        <v>3332.7361401413364</v>
      </c>
      <c r="BG9" s="212">
        <f t="shared" si="5"/>
        <v>0</v>
      </c>
      <c r="BH9" s="212">
        <f t="shared" si="5"/>
        <v>-6594.6302378819673</v>
      </c>
      <c r="BI9" s="212">
        <f t="shared" si="5"/>
        <v>-1426.3212899372884</v>
      </c>
      <c r="BJ9" s="212">
        <f t="shared" si="5"/>
        <v>-952.97103613018407</v>
      </c>
      <c r="BK9" s="212">
        <f t="shared" si="5"/>
        <v>11900</v>
      </c>
      <c r="BL9" s="212">
        <f t="shared" si="5"/>
        <v>0</v>
      </c>
      <c r="BM9" s="212">
        <f t="shared" si="5"/>
        <v>10768.065094057936</v>
      </c>
      <c r="BN9" s="212">
        <f t="shared" si="5"/>
        <v>-5957.3255698218272</v>
      </c>
      <c r="BO9" s="212">
        <f t="shared" si="5"/>
        <v>10305.215487210109</v>
      </c>
      <c r="BP9" s="213">
        <f t="shared" si="6"/>
        <v>14501.069971135643</v>
      </c>
      <c r="BQ9" s="65"/>
      <c r="BS9" s="135">
        <v>0.5</v>
      </c>
      <c r="BT9" s="136">
        <v>0</v>
      </c>
    </row>
    <row r="10" spans="1:72">
      <c r="B10" s="11"/>
      <c r="C10" s="12"/>
      <c r="D10" s="12"/>
      <c r="E10" s="12"/>
      <c r="F10" s="12"/>
      <c r="G10" s="12"/>
      <c r="H10" s="12"/>
      <c r="I10" s="12"/>
      <c r="J10" s="12"/>
      <c r="K10" s="12"/>
      <c r="L10" s="12"/>
      <c r="M10" s="12"/>
      <c r="N10" s="12"/>
      <c r="O10" s="12"/>
      <c r="P10" s="12"/>
      <c r="Q10" s="36"/>
      <c r="R10" s="37"/>
      <c r="S10" s="34"/>
      <c r="T10" s="35"/>
      <c r="U10" s="27"/>
      <c r="W10" s="153">
        <f t="shared" si="7"/>
        <v>36678</v>
      </c>
      <c r="X10" s="154">
        <v>6</v>
      </c>
      <c r="Y10" s="155">
        <v>47.9</v>
      </c>
      <c r="Z10" s="156">
        <f t="shared" si="10"/>
        <v>90088.434358514976</v>
      </c>
      <c r="AA10" s="157">
        <f t="shared" si="1"/>
        <v>-6578.8295013436873</v>
      </c>
      <c r="AC10" s="182">
        <f t="shared" si="15"/>
        <v>42491</v>
      </c>
      <c r="AD10" s="183">
        <f t="shared" si="16"/>
        <v>100000</v>
      </c>
      <c r="AE10" s="184">
        <f t="shared" si="17"/>
        <v>20000</v>
      </c>
      <c r="AF10" s="185">
        <f t="shared" si="11"/>
        <v>105475.04561892439</v>
      </c>
      <c r="AG10" s="186">
        <f t="shared" si="12"/>
        <v>76789.06638797652</v>
      </c>
      <c r="AH10" s="186">
        <f t="shared" si="13"/>
        <v>94093.779237583352</v>
      </c>
      <c r="AI10" s="187">
        <f t="shared" si="14"/>
        <v>83422.658505026367</v>
      </c>
      <c r="AJ10" s="188" t="str">
        <f t="shared" si="2"/>
        <v>No</v>
      </c>
      <c r="AK10" s="189" t="str">
        <f t="shared" si="3"/>
        <v>No</v>
      </c>
      <c r="AL10" s="190" t="str">
        <f t="shared" si="4"/>
        <v>No</v>
      </c>
      <c r="AM10" s="23"/>
      <c r="AN10" s="12"/>
      <c r="AQ10" s="11"/>
      <c r="AR10" s="221">
        <v>6</v>
      </c>
      <c r="AS10" s="212" t="s">
        <v>21</v>
      </c>
      <c r="AT10" s="212">
        <f t="shared" si="8"/>
        <v>-6128.5956006768101</v>
      </c>
      <c r="AU10" s="212">
        <f t="shared" si="8"/>
        <v>-4008.8956902557984</v>
      </c>
      <c r="AV10" s="212">
        <f t="shared" si="8"/>
        <v>-455.08609535184223</v>
      </c>
      <c r="AW10" s="212">
        <f t="shared" si="8"/>
        <v>2383.3482631631341</v>
      </c>
      <c r="AX10" s="213">
        <f t="shared" si="8"/>
        <v>5072.200656912506</v>
      </c>
      <c r="AY10" s="87"/>
      <c r="AZ10" s="87"/>
      <c r="BA10" s="211">
        <f t="shared" si="9"/>
        <v>6</v>
      </c>
      <c r="BB10" s="212">
        <f t="shared" si="5"/>
        <v>-6578.8295013436873</v>
      </c>
      <c r="BC10" s="212">
        <f t="shared" si="5"/>
        <v>-2340.1264058923116</v>
      </c>
      <c r="BD10" s="212">
        <f t="shared" si="5"/>
        <v>1908.3308450283657</v>
      </c>
      <c r="BE10" s="212">
        <f t="shared" si="5"/>
        <v>7574.0021897083643</v>
      </c>
      <c r="BF10" s="212">
        <f t="shared" si="5"/>
        <v>0</v>
      </c>
      <c r="BG10" s="212">
        <f t="shared" si="5"/>
        <v>-1881.7557479844691</v>
      </c>
      <c r="BH10" s="212">
        <f t="shared" si="5"/>
        <v>-2794.4908928038203</v>
      </c>
      <c r="BI10" s="212">
        <f t="shared" si="5"/>
        <v>2858.3656812979025</v>
      </c>
      <c r="BJ10" s="212">
        <f t="shared" si="5"/>
        <v>-6134.3684681994491</v>
      </c>
      <c r="BK10" s="212">
        <f t="shared" si="5"/>
        <v>4000</v>
      </c>
      <c r="BL10" s="212">
        <f t="shared" si="5"/>
        <v>-5223.3004877077765</v>
      </c>
      <c r="BM10" s="212">
        <f t="shared" si="5"/>
        <v>-6119.9362993928517</v>
      </c>
      <c r="BN10" s="212">
        <f t="shared" si="5"/>
        <v>-455.08609535184223</v>
      </c>
      <c r="BO10" s="212">
        <f t="shared" si="5"/>
        <v>2858.3656812979025</v>
      </c>
      <c r="BP10" s="213">
        <f t="shared" si="6"/>
        <v>1432.0443913606141</v>
      </c>
      <c r="BQ10" s="65"/>
      <c r="BS10" s="135">
        <v>0.6</v>
      </c>
      <c r="BT10" s="136">
        <v>2.4883049666567136E-2</v>
      </c>
    </row>
    <row r="11" spans="1:72">
      <c r="A11" s="39"/>
      <c r="B11" s="11"/>
      <c r="C11" s="12"/>
      <c r="D11" s="12"/>
      <c r="E11" s="12"/>
      <c r="F11" s="12"/>
      <c r="G11" s="12"/>
      <c r="H11" s="12"/>
      <c r="I11" s="12"/>
      <c r="J11" s="12"/>
      <c r="K11" s="12"/>
      <c r="L11" s="12"/>
      <c r="M11" s="12"/>
      <c r="N11" s="12"/>
      <c r="O11" s="12"/>
      <c r="P11" s="12"/>
      <c r="Q11" s="36"/>
      <c r="R11" s="37"/>
      <c r="S11" s="34"/>
      <c r="T11" s="35"/>
      <c r="U11" s="27"/>
      <c r="W11" s="153">
        <f t="shared" si="7"/>
        <v>36708</v>
      </c>
      <c r="X11" s="154">
        <v>7</v>
      </c>
      <c r="Y11" s="155">
        <v>47.1</v>
      </c>
      <c r="Z11" s="156">
        <f t="shared" si="10"/>
        <v>86373.569224644161</v>
      </c>
      <c r="AA11" s="157">
        <f t="shared" si="1"/>
        <v>-3714.865133870815</v>
      </c>
      <c r="AC11" s="182">
        <f t="shared" si="15"/>
        <v>42522</v>
      </c>
      <c r="AD11" s="183">
        <f t="shared" si="16"/>
        <v>100000</v>
      </c>
      <c r="AE11" s="184">
        <f t="shared" si="17"/>
        <v>20000</v>
      </c>
      <c r="AF11" s="185">
        <f t="shared" si="11"/>
        <v>104748.59327825885</v>
      </c>
      <c r="AG11" s="186">
        <f t="shared" si="12"/>
        <v>70210.236886632832</v>
      </c>
      <c r="AH11" s="186">
        <f t="shared" si="13"/>
        <v>91390.161242161834</v>
      </c>
      <c r="AI11" s="187">
        <f t="shared" si="14"/>
        <v>77294.062904349557</v>
      </c>
      <c r="AJ11" s="188" t="str">
        <f t="shared" si="2"/>
        <v>No</v>
      </c>
      <c r="AK11" s="189" t="str">
        <f t="shared" si="3"/>
        <v>No</v>
      </c>
      <c r="AL11" s="190" t="str">
        <f t="shared" si="4"/>
        <v>No</v>
      </c>
      <c r="AM11" s="23"/>
      <c r="AN11" s="12"/>
      <c r="AQ11" s="11"/>
      <c r="AR11" s="221">
        <v>7</v>
      </c>
      <c r="AS11" s="212" t="s">
        <v>22</v>
      </c>
      <c r="AT11" s="212">
        <f t="shared" si="8"/>
        <v>-11772.792873494574</v>
      </c>
      <c r="AU11" s="212">
        <f t="shared" si="8"/>
        <v>-5930.016422812776</v>
      </c>
      <c r="AV11" s="212">
        <f t="shared" si="8"/>
        <v>-4194.0629043495574</v>
      </c>
      <c r="AW11" s="212">
        <f t="shared" si="8"/>
        <v>-3253.3218871304925</v>
      </c>
      <c r="AX11" s="213">
        <f t="shared" si="8"/>
        <v>1566.9901463123274</v>
      </c>
      <c r="AY11" s="87"/>
      <c r="AZ11" s="87"/>
      <c r="BA11" s="211">
        <f t="shared" si="9"/>
        <v>7</v>
      </c>
      <c r="BB11" s="212">
        <f t="shared" si="5"/>
        <v>-3714.865133870815</v>
      </c>
      <c r="BC11" s="212">
        <f t="shared" si="5"/>
        <v>-5105.0313526425743</v>
      </c>
      <c r="BD11" s="212">
        <f t="shared" si="5"/>
        <v>-3332.7361401413364</v>
      </c>
      <c r="BE11" s="212">
        <f t="shared" si="5"/>
        <v>-2858.3656812979025</v>
      </c>
      <c r="BF11" s="212">
        <f t="shared" si="5"/>
        <v>-6165.2980989350035</v>
      </c>
      <c r="BG11" s="212">
        <f t="shared" si="5"/>
        <v>-4203.2945157758513</v>
      </c>
      <c r="BH11" s="212">
        <f t="shared" si="5"/>
        <v>-4160.3214890016825</v>
      </c>
      <c r="BI11" s="212">
        <f t="shared" si="5"/>
        <v>0</v>
      </c>
      <c r="BJ11" s="212">
        <f t="shared" si="5"/>
        <v>-4194.0629043495574</v>
      </c>
      <c r="BK11" s="212">
        <f t="shared" si="5"/>
        <v>-11772.792873494574</v>
      </c>
      <c r="BL11" s="212">
        <f t="shared" si="5"/>
        <v>5223.3004877077765</v>
      </c>
      <c r="BM11" s="212">
        <f t="shared" si="5"/>
        <v>-15167.761520852</v>
      </c>
      <c r="BN11" s="212">
        <f t="shared" si="5"/>
        <v>-3173.9076341196487</v>
      </c>
      <c r="BO11" s="212">
        <f t="shared" si="5"/>
        <v>-11772.792873494574</v>
      </c>
      <c r="BP11" s="213">
        <f t="shared" si="6"/>
        <v>-5694.7347466905485</v>
      </c>
      <c r="BQ11" s="65"/>
      <c r="BS11" s="135">
        <v>0.7</v>
      </c>
      <c r="BT11" s="136">
        <v>2.4883049666567136E-2</v>
      </c>
    </row>
    <row r="12" spans="1:72">
      <c r="A12" s="39"/>
      <c r="B12" s="11"/>
      <c r="C12" s="12"/>
      <c r="D12" s="12"/>
      <c r="E12" s="12"/>
      <c r="F12" s="12"/>
      <c r="G12" s="12"/>
      <c r="H12" s="12"/>
      <c r="I12" s="12"/>
      <c r="J12" s="12"/>
      <c r="K12" s="12"/>
      <c r="L12" s="12"/>
      <c r="M12" s="12"/>
      <c r="N12" s="12"/>
      <c r="O12" s="12"/>
      <c r="P12" s="12"/>
      <c r="Q12" s="36"/>
      <c r="R12" s="37"/>
      <c r="S12" s="34"/>
      <c r="T12" s="35"/>
      <c r="U12" s="27"/>
      <c r="W12" s="153">
        <f t="shared" si="7"/>
        <v>36739</v>
      </c>
      <c r="X12" s="154">
        <v>8</v>
      </c>
      <c r="Y12" s="155">
        <v>46.1</v>
      </c>
      <c r="Z12" s="156">
        <f t="shared" si="10"/>
        <v>81771.225241365581</v>
      </c>
      <c r="AA12" s="157">
        <f t="shared" si="1"/>
        <v>-4602.3439832785807</v>
      </c>
      <c r="AC12" s="182">
        <f t="shared" si="15"/>
        <v>42552</v>
      </c>
      <c r="AD12" s="183">
        <f t="shared" si="16"/>
        <v>100000</v>
      </c>
      <c r="AE12" s="184">
        <f t="shared" si="17"/>
        <v>20000</v>
      </c>
      <c r="AF12" s="185">
        <f t="shared" si="11"/>
        <v>99675.748979794967</v>
      </c>
      <c r="AG12" s="186">
        <f t="shared" si="12"/>
        <v>55042.475365780832</v>
      </c>
      <c r="AH12" s="186">
        <f t="shared" si="13"/>
        <v>85813.36717428088</v>
      </c>
      <c r="AI12" s="187">
        <f t="shared" si="14"/>
        <v>65521.270030854983</v>
      </c>
      <c r="AJ12" s="188" t="str">
        <f t="shared" si="2"/>
        <v>No</v>
      </c>
      <c r="AK12" s="189" t="str">
        <f t="shared" si="3"/>
        <v>No</v>
      </c>
      <c r="AL12" s="190" t="str">
        <f t="shared" si="4"/>
        <v>No</v>
      </c>
      <c r="AM12" s="23"/>
      <c r="AN12" s="12"/>
      <c r="AQ12" s="11"/>
      <c r="AR12" s="221">
        <v>8</v>
      </c>
      <c r="AS12" s="212" t="s">
        <v>23</v>
      </c>
      <c r="AT12" s="212">
        <f t="shared" si="8"/>
        <v>-14107.904847218069</v>
      </c>
      <c r="AU12" s="212">
        <f t="shared" si="8"/>
        <v>-11745.100527520659</v>
      </c>
      <c r="AV12" s="212">
        <f t="shared" si="8"/>
        <v>-8563.2377824226278</v>
      </c>
      <c r="AW12" s="212">
        <f t="shared" si="8"/>
        <v>-5919.5182641584543</v>
      </c>
      <c r="AX12" s="213">
        <f t="shared" si="8"/>
        <v>1562.9814870110411</v>
      </c>
      <c r="AY12" s="87"/>
      <c r="AZ12" s="87"/>
      <c r="BA12" s="211">
        <f t="shared" si="9"/>
        <v>8</v>
      </c>
      <c r="BB12" s="212">
        <f t="shared" si="5"/>
        <v>-4602.3439832785807</v>
      </c>
      <c r="BC12" s="212">
        <f t="shared" si="5"/>
        <v>-7328.8046182940161</v>
      </c>
      <c r="BD12" s="212">
        <f t="shared" si="5"/>
        <v>-7857.2638598586636</v>
      </c>
      <c r="BE12" s="212">
        <f t="shared" si="5"/>
        <v>-13041.634318702098</v>
      </c>
      <c r="BF12" s="212">
        <f t="shared" si="5"/>
        <v>5209.9382900368219</v>
      </c>
      <c r="BG12" s="212">
        <f t="shared" si="5"/>
        <v>-9660.6698516970209</v>
      </c>
      <c r="BH12" s="212">
        <f t="shared" si="5"/>
        <v>-11966.885637503743</v>
      </c>
      <c r="BI12" s="212">
        <f t="shared" si="5"/>
        <v>0</v>
      </c>
      <c r="BJ12" s="212">
        <f t="shared" si="5"/>
        <v>-8563.2377824226278</v>
      </c>
      <c r="BK12" s="212">
        <f t="shared" si="5"/>
        <v>-5127.2071265054255</v>
      </c>
      <c r="BL12" s="212">
        <f t="shared" si="5"/>
        <v>-10900</v>
      </c>
      <c r="BM12" s="212">
        <f t="shared" si="5"/>
        <v>-11523.315417537575</v>
      </c>
      <c r="BN12" s="212">
        <f t="shared" si="5"/>
        <v>-6711.829401811483</v>
      </c>
      <c r="BO12" s="212">
        <f t="shared" si="5"/>
        <v>-15527.172290235889</v>
      </c>
      <c r="BP12" s="213">
        <f t="shared" si="6"/>
        <v>-14818.751866228718</v>
      </c>
      <c r="BQ12" s="65"/>
      <c r="BS12" s="135">
        <v>0.8</v>
      </c>
      <c r="BT12" s="136">
        <v>4.9766099333134271E-2</v>
      </c>
    </row>
    <row r="13" spans="1:72">
      <c r="A13" s="39"/>
      <c r="B13" s="11"/>
      <c r="C13" s="12"/>
      <c r="D13" s="12"/>
      <c r="E13" s="12"/>
      <c r="F13" s="12"/>
      <c r="G13" s="12"/>
      <c r="H13" s="12"/>
      <c r="I13" s="12"/>
      <c r="J13" s="12"/>
      <c r="K13" s="12"/>
      <c r="L13" s="12"/>
      <c r="M13" s="12"/>
      <c r="N13" s="12"/>
      <c r="O13" s="12"/>
      <c r="P13" s="12"/>
      <c r="Q13" s="36"/>
      <c r="R13" s="37"/>
      <c r="S13" s="34"/>
      <c r="T13" s="35"/>
      <c r="U13" s="27"/>
      <c r="W13" s="153">
        <f t="shared" si="7"/>
        <v>36770</v>
      </c>
      <c r="X13" s="154">
        <v>9</v>
      </c>
      <c r="Y13" s="155">
        <v>40.200000000000003</v>
      </c>
      <c r="Z13" s="156">
        <f t="shared" si="10"/>
        <v>56120.558375634522</v>
      </c>
      <c r="AA13" s="157">
        <f t="shared" si="1"/>
        <v>-25650.666865731058</v>
      </c>
      <c r="AC13" s="182">
        <f t="shared" si="15"/>
        <v>42583</v>
      </c>
      <c r="AD13" s="183">
        <f t="shared" si="16"/>
        <v>100000</v>
      </c>
      <c r="AE13" s="184">
        <f t="shared" si="17"/>
        <v>20000</v>
      </c>
      <c r="AF13" s="185">
        <f t="shared" si="11"/>
        <v>91514.470455525705</v>
      </c>
      <c r="AG13" s="186">
        <f t="shared" si="12"/>
        <v>39515.303075544944</v>
      </c>
      <c r="AH13" s="186">
        <f t="shared" si="13"/>
        <v>74414.714840250817</v>
      </c>
      <c r="AI13" s="187">
        <f t="shared" si="14"/>
        <v>51413.36518363691</v>
      </c>
      <c r="AJ13" s="188" t="str">
        <f t="shared" si="2"/>
        <v>No</v>
      </c>
      <c r="AK13" s="189" t="str">
        <f t="shared" si="3"/>
        <v>No</v>
      </c>
      <c r="AL13" s="190" t="str">
        <f t="shared" si="4"/>
        <v>No</v>
      </c>
      <c r="AM13" s="23"/>
      <c r="AN13" s="12"/>
      <c r="AQ13" s="11"/>
      <c r="AR13" s="221">
        <v>9</v>
      </c>
      <c r="AS13" s="212" t="s">
        <v>24</v>
      </c>
      <c r="AT13" s="212">
        <f t="shared" si="8"/>
        <v>-8293.0277694834276</v>
      </c>
      <c r="AU13" s="212">
        <f t="shared" si="8"/>
        <v>-7551.6696526326268</v>
      </c>
      <c r="AV13" s="212">
        <f t="shared" si="8"/>
        <v>-3360.2139942271315</v>
      </c>
      <c r="AW13" s="212">
        <f t="shared" si="8"/>
        <v>-499.16641783616797</v>
      </c>
      <c r="AX13" s="213">
        <f t="shared" si="8"/>
        <v>8286.3342291231238</v>
      </c>
      <c r="AY13" s="87"/>
      <c r="AZ13" s="87"/>
      <c r="BA13" s="211">
        <f t="shared" si="9"/>
        <v>9</v>
      </c>
      <c r="BB13" s="212">
        <f t="shared" si="5"/>
        <v>-25650.666865731058</v>
      </c>
      <c r="BC13" s="212">
        <f t="shared" si="5"/>
        <v>909.9980093560298</v>
      </c>
      <c r="BD13" s="212">
        <f t="shared" si="5"/>
        <v>-3360.2139942271315</v>
      </c>
      <c r="BE13" s="212">
        <f t="shared" si="5"/>
        <v>-7793.4159450582229</v>
      </c>
      <c r="BF13" s="212">
        <f t="shared" si="5"/>
        <v>-2850.8261172489147</v>
      </c>
      <c r="BG13" s="212">
        <f t="shared" si="5"/>
        <v>-7674.1315815666458</v>
      </c>
      <c r="BH13" s="212">
        <f t="shared" si="5"/>
        <v>-8626.1023191002314</v>
      </c>
      <c r="BI13" s="212">
        <f t="shared" si="5"/>
        <v>-1908.3308450283657</v>
      </c>
      <c r="BJ13" s="212">
        <f t="shared" si="5"/>
        <v>-3346.0635015427542</v>
      </c>
      <c r="BK13" s="212">
        <f t="shared" si="5"/>
        <v>8857.3006867721851</v>
      </c>
      <c r="BL13" s="212">
        <f t="shared" si="5"/>
        <v>8041.6343187020975</v>
      </c>
      <c r="BM13" s="212">
        <f t="shared" si="5"/>
        <v>-7429.2077236986079</v>
      </c>
      <c r="BN13" s="212">
        <f t="shared" si="5"/>
        <v>2220.4140539464424</v>
      </c>
      <c r="BO13" s="212">
        <f t="shared" si="5"/>
        <v>-6204.9616801035154</v>
      </c>
      <c r="BP13" s="213">
        <f t="shared" si="6"/>
        <v>-5437.6679605852696</v>
      </c>
      <c r="BQ13" s="65"/>
      <c r="BS13" s="135">
        <v>0.9</v>
      </c>
      <c r="BT13" s="136">
        <v>7.4649148999701403E-2</v>
      </c>
    </row>
    <row r="14" spans="1:72">
      <c r="A14" s="39"/>
      <c r="B14" s="11"/>
      <c r="C14" s="12"/>
      <c r="D14" s="12"/>
      <c r="E14" s="12"/>
      <c r="F14" s="12"/>
      <c r="G14" s="12"/>
      <c r="H14" s="12"/>
      <c r="I14" s="12"/>
      <c r="J14" s="12"/>
      <c r="K14" s="12"/>
      <c r="L14" s="12"/>
      <c r="M14" s="12"/>
      <c r="N14" s="12"/>
      <c r="O14" s="12"/>
      <c r="P14" s="12"/>
      <c r="Q14" s="89"/>
      <c r="R14" s="90"/>
      <c r="S14" s="34"/>
      <c r="T14" s="35"/>
      <c r="U14" s="27"/>
      <c r="W14" s="153">
        <f t="shared" si="7"/>
        <v>36800</v>
      </c>
      <c r="X14" s="154">
        <v>10</v>
      </c>
      <c r="Y14" s="155">
        <v>40.799999999999997</v>
      </c>
      <c r="Z14" s="156">
        <f t="shared" si="10"/>
        <v>58487.458942968049</v>
      </c>
      <c r="AA14" s="157">
        <f t="shared" si="1"/>
        <v>2366.9005673335269</v>
      </c>
      <c r="AC14" s="182">
        <f t="shared" si="15"/>
        <v>42614</v>
      </c>
      <c r="AD14" s="183">
        <f t="shared" si="16"/>
        <v>100000</v>
      </c>
      <c r="AE14" s="184">
        <f t="shared" si="17"/>
        <v>20000</v>
      </c>
      <c r="AF14" s="185">
        <f t="shared" si="11"/>
        <v>87497.654357851439</v>
      </c>
      <c r="AG14" s="186">
        <f t="shared" si="12"/>
        <v>13864.636209813885</v>
      </c>
      <c r="AH14" s="186">
        <f t="shared" si="13"/>
        <v>67230.356325271234</v>
      </c>
      <c r="AI14" s="187">
        <f t="shared" si="14"/>
        <v>43120.33741415348</v>
      </c>
      <c r="AJ14" s="188" t="str">
        <f t="shared" si="2"/>
        <v>No</v>
      </c>
      <c r="AK14" s="189" t="str">
        <f t="shared" si="3"/>
        <v>Yes</v>
      </c>
      <c r="AL14" s="190" t="str">
        <f t="shared" si="4"/>
        <v>No</v>
      </c>
      <c r="AM14" s="23"/>
      <c r="AN14" s="12"/>
      <c r="AQ14" s="11"/>
      <c r="AR14" s="221">
        <v>10</v>
      </c>
      <c r="AS14" s="212" t="s">
        <v>25</v>
      </c>
      <c r="AT14" s="212">
        <f t="shared" si="8"/>
        <v>-9923.7483826017742</v>
      </c>
      <c r="AU14" s="212">
        <f t="shared" si="8"/>
        <v>-5124.2584851199354</v>
      </c>
      <c r="AV14" s="212">
        <f t="shared" si="8"/>
        <v>0</v>
      </c>
      <c r="AW14" s="212">
        <f t="shared" si="8"/>
        <v>2545.647954613316</v>
      </c>
      <c r="AX14" s="213">
        <f t="shared" si="8"/>
        <v>9117.6619886533153</v>
      </c>
      <c r="AY14" s="87"/>
      <c r="AZ14" s="87"/>
      <c r="BA14" s="211">
        <f t="shared" si="9"/>
        <v>10</v>
      </c>
      <c r="BB14" s="212">
        <f t="shared" si="5"/>
        <v>2366.9005673335269</v>
      </c>
      <c r="BC14" s="212">
        <f t="shared" si="5"/>
        <v>-455.08609535184223</v>
      </c>
      <c r="BD14" s="212">
        <f t="shared" si="5"/>
        <v>923.78321887129277</v>
      </c>
      <c r="BE14" s="212">
        <f t="shared" si="5"/>
        <v>2724.3953418931051</v>
      </c>
      <c r="BF14" s="212">
        <f t="shared" si="5"/>
        <v>-7036.9762118045328</v>
      </c>
      <c r="BG14" s="212">
        <f t="shared" si="5"/>
        <v>-5256.8478152682364</v>
      </c>
      <c r="BH14" s="212">
        <f t="shared" si="5"/>
        <v>-850.62705285158881</v>
      </c>
      <c r="BI14" s="212">
        <f t="shared" si="5"/>
        <v>-4991.6691549716343</v>
      </c>
      <c r="BJ14" s="212">
        <f t="shared" si="5"/>
        <v>-12806.011744799434</v>
      </c>
      <c r="BK14" s="212">
        <f t="shared" si="5"/>
        <v>8042.6993132278149</v>
      </c>
      <c r="BL14" s="212">
        <f t="shared" si="5"/>
        <v>0</v>
      </c>
      <c r="BM14" s="212">
        <f t="shared" si="5"/>
        <v>3210.7096645764832</v>
      </c>
      <c r="BN14" s="212">
        <f t="shared" si="5"/>
        <v>893.55031352642982</v>
      </c>
      <c r="BO14" s="212">
        <f t="shared" si="5"/>
        <v>11625.908231312831</v>
      </c>
      <c r="BP14" s="213">
        <f t="shared" si="6"/>
        <v>-11848.26316313327</v>
      </c>
      <c r="BQ14" s="65"/>
      <c r="BS14" s="135">
        <v>1</v>
      </c>
      <c r="BT14" s="136">
        <v>9.9532198666268543E-2</v>
      </c>
    </row>
    <row r="15" spans="1:72" ht="15.75" thickBot="1">
      <c r="A15" s="39"/>
      <c r="B15" s="11"/>
      <c r="C15" s="12"/>
      <c r="D15" s="12"/>
      <c r="E15" s="12"/>
      <c r="F15" s="12"/>
      <c r="G15" s="12"/>
      <c r="H15" s="12"/>
      <c r="I15" s="12"/>
      <c r="J15" s="12"/>
      <c r="K15" s="12"/>
      <c r="L15" s="12"/>
      <c r="M15" s="12"/>
      <c r="N15" s="12"/>
      <c r="O15" s="12"/>
      <c r="P15" s="12"/>
      <c r="Q15" s="91"/>
      <c r="R15" s="41"/>
      <c r="S15" s="42"/>
      <c r="T15" s="43"/>
      <c r="U15" s="54"/>
      <c r="W15" s="153">
        <f t="shared" si="7"/>
        <v>36831</v>
      </c>
      <c r="X15" s="154">
        <v>11</v>
      </c>
      <c r="Y15" s="155">
        <v>41.7</v>
      </c>
      <c r="Z15" s="156">
        <f t="shared" si="10"/>
        <v>62200.582263362194</v>
      </c>
      <c r="AA15" s="157">
        <f t="shared" ref="AA15:AA39" si="18">Z15-Z14</f>
        <v>3713.1233203941447</v>
      </c>
      <c r="AC15" s="182">
        <f t="shared" si="15"/>
        <v>42644</v>
      </c>
      <c r="AD15" s="183">
        <f t="shared" si="16"/>
        <v>100000</v>
      </c>
      <c r="AE15" s="184">
        <f t="shared" si="17"/>
        <v>20000</v>
      </c>
      <c r="AF15" s="185">
        <f t="shared" si="11"/>
        <v>86600.485385355496</v>
      </c>
      <c r="AG15" s="186">
        <f t="shared" si="12"/>
        <v>1058.6244650144508</v>
      </c>
      <c r="AH15" s="186">
        <f t="shared" si="13"/>
        <v>63066.895590723609</v>
      </c>
      <c r="AI15" s="187">
        <f t="shared" si="14"/>
        <v>33196.589031551703</v>
      </c>
      <c r="AJ15" s="188" t="str">
        <f t="shared" si="2"/>
        <v>No</v>
      </c>
      <c r="AK15" s="189" t="str">
        <f t="shared" si="3"/>
        <v>Yes</v>
      </c>
      <c r="AL15" s="190" t="str">
        <f t="shared" si="4"/>
        <v>No</v>
      </c>
      <c r="AM15" s="23"/>
      <c r="AN15" s="12"/>
      <c r="AQ15" s="11"/>
      <c r="AR15" s="221">
        <v>11</v>
      </c>
      <c r="AS15" s="212" t="s">
        <v>29</v>
      </c>
      <c r="AT15" s="212">
        <f t="shared" si="8"/>
        <v>-5169.9910421021232</v>
      </c>
      <c r="AU15" s="212">
        <f t="shared" si="8"/>
        <v>-3120.0109485418543</v>
      </c>
      <c r="AV15" s="212">
        <f t="shared" si="8"/>
        <v>-893.55031352642982</v>
      </c>
      <c r="AW15" s="212">
        <f t="shared" si="8"/>
        <v>3112.1354633223891</v>
      </c>
      <c r="AX15" s="213">
        <f t="shared" si="8"/>
        <v>12391.355628545823</v>
      </c>
      <c r="AY15" s="87"/>
      <c r="AZ15" s="87"/>
      <c r="BA15" s="211">
        <f t="shared" si="9"/>
        <v>11</v>
      </c>
      <c r="BB15" s="212">
        <f t="shared" si="5"/>
        <v>3713.1233203941447</v>
      </c>
      <c r="BC15" s="212">
        <f t="shared" si="5"/>
        <v>-1363.1432268338831</v>
      </c>
      <c r="BD15" s="212">
        <f t="shared" si="5"/>
        <v>0</v>
      </c>
      <c r="BE15" s="212">
        <f t="shared" si="5"/>
        <v>5496.541256096345</v>
      </c>
      <c r="BF15" s="212">
        <f t="shared" si="5"/>
        <v>9887.8023290534475</v>
      </c>
      <c r="BG15" s="212">
        <f t="shared" si="5"/>
        <v>-5987.8769782024538</v>
      </c>
      <c r="BH15" s="212">
        <f t="shared" si="5"/>
        <v>18232.979994028065</v>
      </c>
      <c r="BI15" s="212">
        <f t="shared" si="5"/>
        <v>-3943.1621379516291</v>
      </c>
      <c r="BJ15" s="212">
        <f t="shared" si="5"/>
        <v>-424.65412560963159</v>
      </c>
      <c r="BK15" s="212">
        <f t="shared" si="5"/>
        <v>-3332.7361401413364</v>
      </c>
      <c r="BL15" s="212">
        <f t="shared" si="5"/>
        <v>-6119.9362993928517</v>
      </c>
      <c r="BM15" s="212">
        <f t="shared" si="5"/>
        <v>2511.1476062506335</v>
      </c>
      <c r="BN15" s="212">
        <f t="shared" si="5"/>
        <v>-893.55031352642982</v>
      </c>
      <c r="BO15" s="212">
        <f t="shared" si="5"/>
        <v>-1361.550711655218</v>
      </c>
      <c r="BP15" s="213">
        <f t="shared" si="6"/>
        <v>-2907.2857569423722</v>
      </c>
      <c r="BQ15" s="65"/>
      <c r="BS15" s="135">
        <v>1.1000000000000001</v>
      </c>
      <c r="BT15" s="136">
        <v>0.14929829799940281</v>
      </c>
    </row>
    <row r="16" spans="1:72" ht="15.75" thickBot="1">
      <c r="A16" s="39"/>
      <c r="B16" s="11"/>
      <c r="C16" s="12"/>
      <c r="D16" s="12"/>
      <c r="E16" s="12"/>
      <c r="F16" s="12"/>
      <c r="G16" s="12"/>
      <c r="H16" s="12"/>
      <c r="I16" s="12"/>
      <c r="J16" s="12"/>
      <c r="K16" s="12"/>
      <c r="L16" s="12"/>
      <c r="M16" s="12"/>
      <c r="N16" s="12"/>
      <c r="O16" s="12"/>
      <c r="P16" s="12"/>
      <c r="Q16" s="12"/>
      <c r="R16" s="23"/>
      <c r="S16" s="23"/>
      <c r="T16" s="12"/>
      <c r="U16" s="54"/>
      <c r="W16" s="153">
        <f t="shared" si="7"/>
        <v>36861</v>
      </c>
      <c r="X16" s="154">
        <v>12</v>
      </c>
      <c r="Y16" s="155">
        <v>42.4</v>
      </c>
      <c r="Z16" s="156">
        <f t="shared" si="10"/>
        <v>65192.843634915895</v>
      </c>
      <c r="AA16" s="157">
        <f t="shared" si="18"/>
        <v>2992.2613715537009</v>
      </c>
      <c r="AC16" s="182">
        <f t="shared" si="15"/>
        <v>42675</v>
      </c>
      <c r="AD16" s="183">
        <f t="shared" si="16"/>
        <v>100000</v>
      </c>
      <c r="AE16" s="184">
        <f t="shared" si="17"/>
        <v>20000</v>
      </c>
      <c r="AF16" s="185">
        <f t="shared" si="11"/>
        <v>87500.998639726618</v>
      </c>
      <c r="AG16" s="186">
        <f t="shared" si="12"/>
        <v>-5061.3118343784008</v>
      </c>
      <c r="AH16" s="186">
        <f t="shared" si="13"/>
        <v>60468.438339802931</v>
      </c>
      <c r="AI16" s="187">
        <f t="shared" si="14"/>
        <v>28026.597989449579</v>
      </c>
      <c r="AJ16" s="188" t="str">
        <f t="shared" si="2"/>
        <v>No</v>
      </c>
      <c r="AK16" s="189" t="str">
        <f t="shared" si="3"/>
        <v>Yes</v>
      </c>
      <c r="AL16" s="190" t="str">
        <f t="shared" si="4"/>
        <v>No</v>
      </c>
      <c r="AM16" s="23"/>
      <c r="AN16" s="12"/>
      <c r="AQ16" s="11"/>
      <c r="AR16" s="222">
        <v>12</v>
      </c>
      <c r="AS16" s="215" t="s">
        <v>30</v>
      </c>
      <c r="AT16" s="215">
        <f t="shared" si="8"/>
        <v>-6284.6123220861882</v>
      </c>
      <c r="AU16" s="215">
        <f t="shared" si="8"/>
        <v>-4129.1927938688314</v>
      </c>
      <c r="AV16" s="215">
        <f t="shared" si="8"/>
        <v>955.35980889818165</v>
      </c>
      <c r="AW16" s="215">
        <f t="shared" si="8"/>
        <v>4889.3948442321052</v>
      </c>
      <c r="AX16" s="216">
        <f t="shared" si="8"/>
        <v>9890.4225141833303</v>
      </c>
      <c r="AY16" s="87"/>
      <c r="AZ16" s="87"/>
      <c r="BA16" s="214">
        <f t="shared" si="9"/>
        <v>12</v>
      </c>
      <c r="BB16" s="215">
        <f t="shared" si="5"/>
        <v>2992.2613715537009</v>
      </c>
      <c r="BC16" s="215">
        <f t="shared" si="5"/>
        <v>8698.7160346371966</v>
      </c>
      <c r="BD16" s="215">
        <f t="shared" si="5"/>
        <v>12671.070966457657</v>
      </c>
      <c r="BE16" s="215">
        <f t="shared" si="5"/>
        <v>-3214.0191101821547</v>
      </c>
      <c r="BF16" s="215">
        <f t="shared" si="5"/>
        <v>955.35980889818165</v>
      </c>
      <c r="BG16" s="215">
        <f t="shared" si="5"/>
        <v>-6662.5360804220109</v>
      </c>
      <c r="BH16" s="215">
        <f t="shared" si="5"/>
        <v>4593.5353836966242</v>
      </c>
      <c r="BI16" s="215">
        <f t="shared" si="5"/>
        <v>3738.1059022593836</v>
      </c>
      <c r="BJ16" s="215">
        <f t="shared" si="5"/>
        <v>5185.2543047675863</v>
      </c>
      <c r="BK16" s="215">
        <f t="shared" si="5"/>
        <v>-473.44978600575996</v>
      </c>
      <c r="BL16" s="215">
        <f t="shared" si="5"/>
        <v>-4648.1287946650846</v>
      </c>
      <c r="BM16" s="215">
        <f t="shared" si="5"/>
        <v>6509.1320792276238</v>
      </c>
      <c r="BN16" s="215">
        <f t="shared" si="5"/>
        <v>-5717.7266845824561</v>
      </c>
      <c r="BO16" s="215">
        <f t="shared" si="5"/>
        <v>-3610.2567930725781</v>
      </c>
      <c r="BP16" s="216">
        <f t="shared" si="6"/>
        <v>-7700.4080820145173</v>
      </c>
      <c r="BQ16" s="65"/>
      <c r="BS16" s="135">
        <v>1.2</v>
      </c>
      <c r="BT16" s="136">
        <v>0.19906439733253709</v>
      </c>
    </row>
    <row r="17" spans="1:72" ht="15.75" thickBot="1">
      <c r="A17" s="39"/>
      <c r="B17" s="11"/>
      <c r="C17" s="12"/>
      <c r="D17" s="12"/>
      <c r="E17" s="12"/>
      <c r="F17" s="12"/>
      <c r="G17" s="12"/>
      <c r="H17" s="12"/>
      <c r="I17" s="12"/>
      <c r="J17" s="12"/>
      <c r="K17" s="12"/>
      <c r="L17" s="12"/>
      <c r="M17" s="12"/>
      <c r="N17" s="12"/>
      <c r="O17" s="12"/>
      <c r="P17" s="12"/>
      <c r="Q17" s="13" t="s">
        <v>31</v>
      </c>
      <c r="R17" s="57"/>
      <c r="S17" s="57"/>
      <c r="T17" s="58"/>
      <c r="U17" s="54"/>
      <c r="W17" s="153">
        <f t="shared" si="7"/>
        <v>36892</v>
      </c>
      <c r="X17" s="154">
        <v>1</v>
      </c>
      <c r="Y17" s="155">
        <v>44.5</v>
      </c>
      <c r="Z17" s="156">
        <f t="shared" si="10"/>
        <v>74499.303274609323</v>
      </c>
      <c r="AA17" s="157">
        <f t="shared" si="18"/>
        <v>9306.4596396934285</v>
      </c>
      <c r="AC17" s="182">
        <f t="shared" si="15"/>
        <v>42705</v>
      </c>
      <c r="AD17" s="183">
        <f t="shared" si="16"/>
        <v>100000</v>
      </c>
      <c r="AE17" s="184">
        <f t="shared" si="17"/>
        <v>20000</v>
      </c>
      <c r="AF17" s="185">
        <f t="shared" si="11"/>
        <v>88388.79267443018</v>
      </c>
      <c r="AG17" s="186">
        <f t="shared" si="12"/>
        <v>-12761.719916392918</v>
      </c>
      <c r="AH17" s="186">
        <f t="shared" si="13"/>
        <v>56937.429083308438</v>
      </c>
      <c r="AI17" s="187">
        <f t="shared" si="14"/>
        <v>21741.985667363391</v>
      </c>
      <c r="AJ17" s="188" t="str">
        <f t="shared" si="2"/>
        <v>No</v>
      </c>
      <c r="AK17" s="189" t="str">
        <f t="shared" si="3"/>
        <v>Yes</v>
      </c>
      <c r="AL17" s="190" t="str">
        <f t="shared" si="4"/>
        <v>No</v>
      </c>
      <c r="AM17" s="23"/>
      <c r="AN17" s="12"/>
      <c r="AQ17" s="11"/>
      <c r="AR17" s="12"/>
      <c r="AS17" s="12"/>
      <c r="AT17" s="12"/>
      <c r="AU17" s="12"/>
      <c r="AV17" s="12"/>
      <c r="AW17" s="92"/>
      <c r="AX17" s="12"/>
      <c r="AY17" s="12"/>
      <c r="AZ17" s="12"/>
      <c r="BA17" s="12"/>
      <c r="BB17" s="12"/>
      <c r="BC17" s="12"/>
      <c r="BD17" s="12"/>
      <c r="BE17" s="12"/>
      <c r="BF17" s="12"/>
      <c r="BG17" s="12"/>
      <c r="BH17" s="12"/>
      <c r="BI17" s="12"/>
      <c r="BJ17" s="12"/>
      <c r="BK17" s="12"/>
      <c r="BL17" s="12"/>
      <c r="BM17" s="12"/>
      <c r="BN17" s="12"/>
      <c r="BO17" s="12"/>
      <c r="BP17" s="12"/>
      <c r="BQ17" s="65"/>
      <c r="BS17" s="135">
        <v>1.3</v>
      </c>
      <c r="BT17" s="136">
        <v>0.24883049666567136</v>
      </c>
    </row>
    <row r="18" spans="1:72" ht="15.75" customHeight="1">
      <c r="A18" s="39"/>
      <c r="B18" s="11"/>
      <c r="C18" s="12"/>
      <c r="D18" s="12"/>
      <c r="E18" s="12"/>
      <c r="F18" s="12"/>
      <c r="G18" s="12"/>
      <c r="H18" s="12"/>
      <c r="I18" s="12"/>
      <c r="J18" s="12"/>
      <c r="K18" s="12"/>
      <c r="L18" s="12"/>
      <c r="M18" s="12"/>
      <c r="N18" s="12"/>
      <c r="O18" s="12"/>
      <c r="P18" s="12"/>
      <c r="Q18" s="93" t="s">
        <v>32</v>
      </c>
      <c r="R18" s="129">
        <v>100000</v>
      </c>
      <c r="S18" s="94" t="s">
        <v>27</v>
      </c>
      <c r="T18" s="95"/>
      <c r="U18" s="27"/>
      <c r="W18" s="153">
        <f t="shared" si="7"/>
        <v>36923</v>
      </c>
      <c r="X18" s="154">
        <v>2</v>
      </c>
      <c r="Y18" s="155">
        <v>48.6</v>
      </c>
      <c r="Z18" s="156">
        <f t="shared" si="10"/>
        <v>93364.412262366881</v>
      </c>
      <c r="AA18" s="157">
        <f t="shared" si="18"/>
        <v>18865.108987757558</v>
      </c>
      <c r="AC18" s="182">
        <f t="shared" si="15"/>
        <v>42736</v>
      </c>
      <c r="AD18" s="183">
        <f t="shared" si="16"/>
        <v>100000</v>
      </c>
      <c r="AE18" s="184">
        <f t="shared" si="17"/>
        <v>20000</v>
      </c>
      <c r="AF18" s="185">
        <f t="shared" si="11"/>
        <v>91473.81971401081</v>
      </c>
      <c r="AG18" s="186">
        <f t="shared" si="12"/>
        <v>-22049.666567134424</v>
      </c>
      <c r="AH18" s="186">
        <f t="shared" si="13"/>
        <v>55973.439832785887</v>
      </c>
      <c r="AI18" s="187">
        <f t="shared" si="14"/>
        <v>17009.314223151196</v>
      </c>
      <c r="AJ18" s="188" t="str">
        <f t="shared" si="2"/>
        <v>No</v>
      </c>
      <c r="AK18" s="189" t="str">
        <f t="shared" si="3"/>
        <v>Yes</v>
      </c>
      <c r="AL18" s="190" t="str">
        <f t="shared" si="4"/>
        <v>No</v>
      </c>
      <c r="AM18" s="23"/>
      <c r="AN18" s="12"/>
      <c r="AQ18" s="11"/>
      <c r="AR18" s="202" t="s">
        <v>44</v>
      </c>
      <c r="AS18" s="223"/>
      <c r="AT18" s="223"/>
      <c r="AU18" s="223"/>
      <c r="AV18" s="223"/>
      <c r="AW18" s="224" t="s">
        <v>45</v>
      </c>
      <c r="AX18" s="225">
        <f>R18</f>
        <v>100000</v>
      </c>
      <c r="AY18" s="366" t="s">
        <v>46</v>
      </c>
      <c r="AZ18" s="23"/>
      <c r="BA18" s="23"/>
      <c r="BB18" s="12"/>
      <c r="BC18" s="12"/>
      <c r="BD18" s="12"/>
      <c r="BE18" s="12"/>
      <c r="BF18" s="12"/>
      <c r="BG18" s="12"/>
      <c r="BH18" s="12"/>
      <c r="BI18" s="12"/>
      <c r="BJ18" s="12"/>
      <c r="BK18" s="12"/>
      <c r="BL18" s="12"/>
      <c r="BM18" s="12"/>
      <c r="BN18" s="12"/>
      <c r="BO18" s="12"/>
      <c r="BP18" s="12"/>
      <c r="BQ18" s="65"/>
      <c r="BS18" s="135">
        <v>1.4</v>
      </c>
      <c r="BT18" s="136">
        <v>0.32347964566537274</v>
      </c>
    </row>
    <row r="19" spans="1:72" ht="15" customHeight="1" thickBot="1">
      <c r="A19" s="39"/>
      <c r="B19" s="11"/>
      <c r="C19" s="12"/>
      <c r="D19" s="12"/>
      <c r="E19" s="12"/>
      <c r="F19" s="12"/>
      <c r="G19" s="12"/>
      <c r="H19" s="12"/>
      <c r="I19" s="12"/>
      <c r="J19" s="12"/>
      <c r="K19" s="12"/>
      <c r="L19" s="12"/>
      <c r="M19" s="12"/>
      <c r="N19" s="12"/>
      <c r="O19" s="12"/>
      <c r="P19" s="12"/>
      <c r="Q19" s="97" t="s">
        <v>99</v>
      </c>
      <c r="R19" s="98">
        <f>R18*Q22</f>
        <v>20000</v>
      </c>
      <c r="S19" s="99" t="s">
        <v>27</v>
      </c>
      <c r="T19" s="100"/>
      <c r="U19" s="27"/>
      <c r="W19" s="153">
        <f t="shared" si="7"/>
        <v>36951</v>
      </c>
      <c r="X19" s="154">
        <v>3</v>
      </c>
      <c r="Y19" s="155">
        <v>51.2</v>
      </c>
      <c r="Z19" s="156">
        <f t="shared" si="10"/>
        <v>100000</v>
      </c>
      <c r="AA19" s="157">
        <f t="shared" si="18"/>
        <v>6635.5877376331191</v>
      </c>
      <c r="AC19" s="182">
        <f t="shared" si="15"/>
        <v>42767</v>
      </c>
      <c r="AD19" s="183">
        <f t="shared" si="16"/>
        <v>100000</v>
      </c>
      <c r="AE19" s="184">
        <f t="shared" si="17"/>
        <v>20000</v>
      </c>
      <c r="AF19" s="185">
        <f t="shared" si="11"/>
        <v>95433.64354201917</v>
      </c>
      <c r="AG19" s="186">
        <f t="shared" si="12"/>
        <v>-30709.515278192448</v>
      </c>
      <c r="AH19" s="186">
        <f t="shared" si="13"/>
        <v>55973.439832785887</v>
      </c>
      <c r="AI19" s="187">
        <f t="shared" si="14"/>
        <v>12175.751965760935</v>
      </c>
      <c r="AJ19" s="188" t="str">
        <f t="shared" si="2"/>
        <v>No</v>
      </c>
      <c r="AK19" s="189" t="str">
        <f t="shared" si="3"/>
        <v>Yes</v>
      </c>
      <c r="AL19" s="190" t="str">
        <f t="shared" si="4"/>
        <v>No</v>
      </c>
      <c r="AM19" s="23"/>
      <c r="AN19" s="12"/>
      <c r="AQ19" s="11"/>
      <c r="AR19" s="217" t="s">
        <v>73</v>
      </c>
      <c r="AS19" s="218" t="s">
        <v>4</v>
      </c>
      <c r="AT19" s="218" t="s">
        <v>47</v>
      </c>
      <c r="AU19" s="218" t="s">
        <v>6</v>
      </c>
      <c r="AV19" s="218" t="s">
        <v>7</v>
      </c>
      <c r="AW19" s="218" t="s">
        <v>48</v>
      </c>
      <c r="AX19" s="226" t="s">
        <v>8</v>
      </c>
      <c r="AY19" s="367"/>
      <c r="AZ19" s="96"/>
      <c r="BA19" s="96"/>
      <c r="BB19" s="12"/>
      <c r="BC19" s="12"/>
      <c r="BD19" s="12"/>
      <c r="BE19" s="12"/>
      <c r="BF19" s="12"/>
      <c r="BG19" s="12"/>
      <c r="BH19" s="12"/>
      <c r="BI19" s="12"/>
      <c r="BJ19" s="12"/>
      <c r="BK19" s="12"/>
      <c r="BL19" s="12"/>
      <c r="BM19" s="12"/>
      <c r="BN19" s="12"/>
      <c r="BO19" s="12"/>
      <c r="BP19" s="12"/>
      <c r="BQ19" s="65"/>
      <c r="BS19" s="135">
        <v>1.5</v>
      </c>
      <c r="BT19" s="136">
        <v>0.39812879466507417</v>
      </c>
    </row>
    <row r="20" spans="1:72" ht="15.75" thickBot="1">
      <c r="A20" s="39"/>
      <c r="B20" s="11"/>
      <c r="C20" s="12"/>
      <c r="D20" s="12"/>
      <c r="E20" s="12"/>
      <c r="F20" s="12"/>
      <c r="G20" s="12"/>
      <c r="H20" s="12"/>
      <c r="I20" s="12"/>
      <c r="J20" s="12"/>
      <c r="K20" s="12"/>
      <c r="L20" s="12"/>
      <c r="M20" s="12"/>
      <c r="N20" s="12"/>
      <c r="O20" s="12"/>
      <c r="P20" s="12"/>
      <c r="Q20" s="12"/>
      <c r="R20" s="23"/>
      <c r="S20" s="23"/>
      <c r="T20" s="12"/>
      <c r="U20" s="27"/>
      <c r="W20" s="153">
        <f t="shared" si="7"/>
        <v>36982</v>
      </c>
      <c r="X20" s="154">
        <v>4</v>
      </c>
      <c r="Y20" s="155">
        <v>50.4</v>
      </c>
      <c r="Z20" s="156">
        <f t="shared" si="10"/>
        <v>100000</v>
      </c>
      <c r="AA20" s="157">
        <f t="shared" si="18"/>
        <v>0</v>
      </c>
      <c r="AC20" s="182">
        <f t="shared" si="15"/>
        <v>42795</v>
      </c>
      <c r="AD20" s="183">
        <f t="shared" si="16"/>
        <v>100000</v>
      </c>
      <c r="AE20" s="184">
        <f t="shared" si="17"/>
        <v>20000</v>
      </c>
      <c r="AF20" s="185">
        <f t="shared" si="11"/>
        <v>100024.62824723797</v>
      </c>
      <c r="AG20" s="186">
        <f t="shared" si="12"/>
        <v>-38264.780531501885</v>
      </c>
      <c r="AH20" s="186">
        <f t="shared" si="13"/>
        <v>55973.439832785887</v>
      </c>
      <c r="AI20" s="187">
        <f t="shared" si="14"/>
        <v>8795.7131482034638</v>
      </c>
      <c r="AJ20" s="188" t="str">
        <f t="shared" si="2"/>
        <v>No</v>
      </c>
      <c r="AK20" s="189" t="str">
        <f t="shared" si="3"/>
        <v>Yes</v>
      </c>
      <c r="AL20" s="190" t="str">
        <f t="shared" si="4"/>
        <v>No</v>
      </c>
      <c r="AM20" s="23"/>
      <c r="AN20" s="12"/>
      <c r="AQ20" s="11"/>
      <c r="AR20" s="227">
        <v>1</v>
      </c>
      <c r="AS20" s="228" t="s">
        <v>10</v>
      </c>
      <c r="AT20" s="209">
        <f t="shared" ref="AT20:AT31" si="19">MAX(BB5:BP5)</f>
        <v>14550.213994227131</v>
      </c>
      <c r="AU20" s="209">
        <f t="shared" ref="AU20:AU31" si="20">AVERAGE(BB5:BP5)</f>
        <v>3085.0270395806365</v>
      </c>
      <c r="AV20" s="209">
        <f t="shared" ref="AV20:AV31" si="21">MIN(BB5:BP5)</f>
        <v>-9287.9466507415054</v>
      </c>
      <c r="AW20" s="209">
        <f>_xlfn.PERCENTILE.INC($BB5:$BP5,30%)</f>
        <v>-963.98925052255174</v>
      </c>
      <c r="AX20" s="232">
        <f t="shared" ref="AX20:AX22" si="22">IF(AW20&gt;0,0,AW20)</f>
        <v>-963.98925052255174</v>
      </c>
      <c r="AY20" s="229">
        <f t="shared" ref="AY20:AY31" si="23">ABS(AX20/$AX$18)</f>
        <v>9.6398925052255183E-3</v>
      </c>
      <c r="AZ20" s="101"/>
      <c r="BA20" s="101"/>
      <c r="BB20" s="12"/>
      <c r="BC20" s="12"/>
      <c r="BD20" s="12"/>
      <c r="BE20" s="12"/>
      <c r="BF20" s="12"/>
      <c r="BG20" s="12"/>
      <c r="BH20" s="12"/>
      <c r="BI20" s="12"/>
      <c r="BJ20" s="12"/>
      <c r="BK20" s="12"/>
      <c r="BL20" s="12"/>
      <c r="BM20" s="12"/>
      <c r="BN20" s="12"/>
      <c r="BO20" s="12"/>
      <c r="BP20" s="12"/>
      <c r="BQ20" s="65"/>
      <c r="BS20" s="135">
        <v>1.6</v>
      </c>
      <c r="BT20" s="136">
        <v>0.4727779436647756</v>
      </c>
    </row>
    <row r="21" spans="1:72" ht="15.75" thickBot="1">
      <c r="A21" s="39"/>
      <c r="B21" s="11"/>
      <c r="C21" s="12"/>
      <c r="D21" s="12"/>
      <c r="E21" s="12"/>
      <c r="F21" s="12"/>
      <c r="G21" s="12"/>
      <c r="H21" s="12"/>
      <c r="I21" s="12"/>
      <c r="J21" s="12"/>
      <c r="K21" s="12"/>
      <c r="L21" s="12"/>
      <c r="M21" s="12"/>
      <c r="N21" s="12"/>
      <c r="O21" s="12"/>
      <c r="P21" s="12"/>
      <c r="Q21" s="13" t="s">
        <v>99</v>
      </c>
      <c r="R21" s="57"/>
      <c r="S21" s="57" t="s">
        <v>34</v>
      </c>
      <c r="T21" s="58"/>
      <c r="U21" s="65"/>
      <c r="W21" s="153">
        <f t="shared" si="7"/>
        <v>37012</v>
      </c>
      <c r="X21" s="154">
        <v>5</v>
      </c>
      <c r="Y21" s="155">
        <v>48.5</v>
      </c>
      <c r="Z21" s="156">
        <f t="shared" si="10"/>
        <v>92894.943764307754</v>
      </c>
      <c r="AA21" s="157">
        <f t="shared" si="18"/>
        <v>-7105.0562356922455</v>
      </c>
      <c r="AC21" s="182">
        <f t="shared" si="15"/>
        <v>42826</v>
      </c>
      <c r="AD21" s="183">
        <f t="shared" si="16"/>
        <v>100000</v>
      </c>
      <c r="AE21" s="184">
        <f t="shared" si="17"/>
        <v>20000</v>
      </c>
      <c r="AF21" s="185">
        <f t="shared" si="11"/>
        <v>102703.34063236123</v>
      </c>
      <c r="AG21" s="186">
        <f t="shared" si="12"/>
        <v>-43488.081019209661</v>
      </c>
      <c r="AH21" s="186">
        <f t="shared" si="13"/>
        <v>55973.439832785887</v>
      </c>
      <c r="AI21" s="187">
        <f t="shared" si="14"/>
        <v>5357.6619886533463</v>
      </c>
      <c r="AJ21" s="188" t="str">
        <f t="shared" si="2"/>
        <v>No</v>
      </c>
      <c r="AK21" s="189" t="str">
        <f t="shared" si="3"/>
        <v>Yes</v>
      </c>
      <c r="AL21" s="190" t="str">
        <f t="shared" si="4"/>
        <v>No</v>
      </c>
      <c r="AM21" s="23"/>
      <c r="AN21" s="12"/>
      <c r="AQ21" s="11"/>
      <c r="AR21" s="230">
        <v>2</v>
      </c>
      <c r="AS21" s="231" t="s">
        <v>13</v>
      </c>
      <c r="AT21" s="212">
        <f t="shared" si="19"/>
        <v>18865.108987757558</v>
      </c>
      <c r="AU21" s="212">
        <f t="shared" si="20"/>
        <v>3959.8238280083638</v>
      </c>
      <c r="AV21" s="212">
        <f t="shared" si="21"/>
        <v>-8659.8487110580245</v>
      </c>
      <c r="AW21" s="212">
        <f t="shared" ref="AW21:AW31" si="24">_xlfn.PERCENTILE.INC($BB6:$BP6,30%)</f>
        <v>1889.3699611824472</v>
      </c>
      <c r="AX21" s="232">
        <f t="shared" si="22"/>
        <v>0</v>
      </c>
      <c r="AY21" s="233">
        <f t="shared" si="23"/>
        <v>0</v>
      </c>
      <c r="AZ21" s="101"/>
      <c r="BA21" s="101"/>
      <c r="BB21" s="12"/>
      <c r="BC21" s="12"/>
      <c r="BD21" s="12"/>
      <c r="BE21" s="12"/>
      <c r="BF21" s="12"/>
      <c r="BG21" s="12"/>
      <c r="BH21" s="12"/>
      <c r="BI21" s="12"/>
      <c r="BJ21" s="12"/>
      <c r="BK21" s="12"/>
      <c r="BL21" s="12"/>
      <c r="BM21" s="12"/>
      <c r="BN21" s="12"/>
      <c r="BO21" s="12"/>
      <c r="BP21" s="12"/>
      <c r="BQ21" s="65"/>
      <c r="BS21" s="135">
        <v>1.7</v>
      </c>
      <c r="BT21" s="136">
        <v>0.57231014233104416</v>
      </c>
    </row>
    <row r="22" spans="1:72">
      <c r="A22" s="39"/>
      <c r="B22" s="11"/>
      <c r="C22" s="12"/>
      <c r="D22" s="12"/>
      <c r="E22" s="12"/>
      <c r="F22" s="12"/>
      <c r="G22" s="12"/>
      <c r="H22" s="12"/>
      <c r="I22" s="12"/>
      <c r="J22" s="12"/>
      <c r="K22" s="12"/>
      <c r="L22" s="12"/>
      <c r="M22" s="12"/>
      <c r="N22" s="12"/>
      <c r="O22" s="12"/>
      <c r="P22" s="12"/>
      <c r="Q22" s="368">
        <v>0.2</v>
      </c>
      <c r="R22" s="370" t="s">
        <v>56</v>
      </c>
      <c r="S22" s="371"/>
      <c r="T22" s="372"/>
      <c r="U22" s="65"/>
      <c r="W22" s="153">
        <f t="shared" si="7"/>
        <v>37043</v>
      </c>
      <c r="X22" s="154">
        <v>6</v>
      </c>
      <c r="Y22" s="155">
        <v>48</v>
      </c>
      <c r="Z22" s="156">
        <f t="shared" si="10"/>
        <v>90554.817358415443</v>
      </c>
      <c r="AA22" s="157">
        <f t="shared" si="18"/>
        <v>-2340.1264058923116</v>
      </c>
      <c r="AC22" s="182">
        <f t="shared" si="15"/>
        <v>42856</v>
      </c>
      <c r="AD22" s="183">
        <f t="shared" si="16"/>
        <v>100000</v>
      </c>
      <c r="AE22" s="184">
        <f t="shared" si="17"/>
        <v>20000</v>
      </c>
      <c r="AF22" s="185">
        <f t="shared" si="11"/>
        <v>103767.05484224146</v>
      </c>
      <c r="AG22" s="186">
        <f t="shared" si="12"/>
        <v>-51062.083208918026</v>
      </c>
      <c r="AH22" s="186">
        <f t="shared" si="13"/>
        <v>52925.584751667142</v>
      </c>
      <c r="AI22" s="187">
        <f t="shared" si="14"/>
        <v>-1543.2238479147882</v>
      </c>
      <c r="AJ22" s="188" t="str">
        <f t="shared" si="2"/>
        <v>No</v>
      </c>
      <c r="AK22" s="189" t="str">
        <f t="shared" si="3"/>
        <v>Yes</v>
      </c>
      <c r="AL22" s="190" t="str">
        <f t="shared" si="4"/>
        <v>No</v>
      </c>
      <c r="AM22" s="23"/>
      <c r="AN22" s="12"/>
      <c r="AQ22" s="11"/>
      <c r="AR22" s="230">
        <v>3</v>
      </c>
      <c r="AS22" s="231" t="s">
        <v>14</v>
      </c>
      <c r="AT22" s="212">
        <f t="shared" si="19"/>
        <v>15879.740220961481</v>
      </c>
      <c r="AU22" s="212">
        <f t="shared" si="20"/>
        <v>4590.9847052188024</v>
      </c>
      <c r="AV22" s="212">
        <f t="shared" si="21"/>
        <v>-7555.265253309437</v>
      </c>
      <c r="AW22" s="212">
        <f t="shared" si="24"/>
        <v>649.99502339005721</v>
      </c>
      <c r="AX22" s="232">
        <f t="shared" si="22"/>
        <v>0</v>
      </c>
      <c r="AY22" s="233">
        <f t="shared" si="23"/>
        <v>0</v>
      </c>
      <c r="AZ22" s="101"/>
      <c r="BA22" s="101"/>
      <c r="BB22" s="12"/>
      <c r="BC22" s="12"/>
      <c r="BD22" s="12"/>
      <c r="BE22" s="12"/>
      <c r="BF22" s="12"/>
      <c r="BG22" s="12"/>
      <c r="BH22" s="12"/>
      <c r="BI22" s="12"/>
      <c r="BJ22" s="12"/>
      <c r="BK22" s="12"/>
      <c r="BL22" s="12"/>
      <c r="BM22" s="12"/>
      <c r="BN22" s="12"/>
      <c r="BO22" s="12"/>
      <c r="BP22" s="12"/>
      <c r="BQ22" s="65"/>
      <c r="BS22" s="135">
        <v>1.8</v>
      </c>
      <c r="BT22" s="136">
        <v>0.67184234099731266</v>
      </c>
    </row>
    <row r="23" spans="1:72" ht="15.75" thickBot="1">
      <c r="A23" s="39"/>
      <c r="B23" s="11"/>
      <c r="C23" s="12"/>
      <c r="D23" s="12"/>
      <c r="E23" s="12"/>
      <c r="F23" s="12"/>
      <c r="G23" s="12"/>
      <c r="H23" s="12"/>
      <c r="I23" s="12"/>
      <c r="J23" s="12"/>
      <c r="K23" s="12"/>
      <c r="L23" s="12"/>
      <c r="M23" s="12"/>
      <c r="N23" s="12"/>
      <c r="O23" s="12"/>
      <c r="P23" s="12"/>
      <c r="Q23" s="369"/>
      <c r="R23" s="373"/>
      <c r="S23" s="374"/>
      <c r="T23" s="375"/>
      <c r="U23" s="66"/>
      <c r="W23" s="153">
        <f t="shared" si="7"/>
        <v>37073</v>
      </c>
      <c r="X23" s="154">
        <v>7</v>
      </c>
      <c r="Y23" s="155">
        <v>46.9</v>
      </c>
      <c r="Z23" s="156">
        <f t="shared" si="10"/>
        <v>85449.786005772869</v>
      </c>
      <c r="AA23" s="157">
        <f t="shared" si="18"/>
        <v>-5105.0313526425743</v>
      </c>
      <c r="AC23" s="182">
        <f t="shared" si="15"/>
        <v>42887</v>
      </c>
      <c r="AD23" s="183">
        <f t="shared" si="16"/>
        <v>100000</v>
      </c>
      <c r="AE23" s="184">
        <f t="shared" si="17"/>
        <v>20000</v>
      </c>
      <c r="AF23" s="185">
        <f t="shared" si="11"/>
        <v>103040.60250157592</v>
      </c>
      <c r="AG23" s="186">
        <f t="shared" si="12"/>
        <v>-57640.912710261713</v>
      </c>
      <c r="AH23" s="186">
        <f t="shared" si="13"/>
        <v>50221.966756245623</v>
      </c>
      <c r="AI23" s="187">
        <f t="shared" si="14"/>
        <v>-7671.8194485915983</v>
      </c>
      <c r="AJ23" s="188" t="str">
        <f t="shared" si="2"/>
        <v>No</v>
      </c>
      <c r="AK23" s="189" t="str">
        <f t="shared" si="3"/>
        <v>Yes</v>
      </c>
      <c r="AL23" s="190" t="str">
        <f t="shared" si="4"/>
        <v>No</v>
      </c>
      <c r="AM23" s="23"/>
      <c r="AN23" s="12"/>
      <c r="AQ23" s="11"/>
      <c r="AR23" s="230">
        <v>4</v>
      </c>
      <c r="AS23" s="231" t="s">
        <v>15</v>
      </c>
      <c r="AT23" s="212">
        <f t="shared" si="19"/>
        <v>14136.383995222452</v>
      </c>
      <c r="AU23" s="212">
        <f t="shared" si="20"/>
        <v>2678.7123851232541</v>
      </c>
      <c r="AV23" s="212">
        <f t="shared" si="21"/>
        <v>-5223.3004877077765</v>
      </c>
      <c r="AW23" s="212">
        <f t="shared" si="24"/>
        <v>95.33691649248658</v>
      </c>
      <c r="AX23" s="232">
        <f>IF(AW23&gt;0,0,AW23)</f>
        <v>0</v>
      </c>
      <c r="AY23" s="234">
        <f t="shared" si="23"/>
        <v>0</v>
      </c>
      <c r="AZ23" s="102"/>
      <c r="BA23" s="102"/>
      <c r="BB23" s="12"/>
      <c r="BC23" s="12"/>
      <c r="BD23" s="12"/>
      <c r="BE23" s="12"/>
      <c r="BF23" s="12"/>
      <c r="BG23" s="12"/>
      <c r="BH23" s="12"/>
      <c r="BI23" s="12"/>
      <c r="BJ23" s="12"/>
      <c r="BK23" s="12"/>
      <c r="BL23" s="12"/>
      <c r="BM23" s="12"/>
      <c r="BN23" s="12"/>
      <c r="BO23" s="12"/>
      <c r="BP23" s="12"/>
      <c r="BQ23" s="65"/>
      <c r="BS23" s="135">
        <v>1.9</v>
      </c>
      <c r="BT23" s="136">
        <v>0.77137453966358116</v>
      </c>
    </row>
    <row r="24" spans="1:72" ht="15.75" thickBot="1">
      <c r="A24" s="39"/>
      <c r="B24" s="11"/>
      <c r="C24" s="12"/>
      <c r="D24" s="12"/>
      <c r="E24" s="12"/>
      <c r="F24" s="12"/>
      <c r="G24" s="12"/>
      <c r="H24" s="12"/>
      <c r="I24" s="12"/>
      <c r="J24" s="12"/>
      <c r="K24" s="12"/>
      <c r="L24" s="12"/>
      <c r="M24" s="12"/>
      <c r="N24" s="12"/>
      <c r="O24" s="12"/>
      <c r="P24" s="12"/>
      <c r="Q24" s="12"/>
      <c r="R24" s="23"/>
      <c r="S24" s="23"/>
      <c r="T24" s="12"/>
      <c r="U24" s="65"/>
      <c r="W24" s="153">
        <f t="shared" si="7"/>
        <v>37104</v>
      </c>
      <c r="X24" s="154">
        <v>8</v>
      </c>
      <c r="Y24" s="155">
        <v>45.3</v>
      </c>
      <c r="Z24" s="156">
        <f t="shared" si="10"/>
        <v>78120.981387478852</v>
      </c>
      <c r="AA24" s="157">
        <f t="shared" si="18"/>
        <v>-7328.8046182940161</v>
      </c>
      <c r="AC24" s="182">
        <f t="shared" si="15"/>
        <v>42917</v>
      </c>
      <c r="AD24" s="183">
        <f t="shared" si="16"/>
        <v>100000</v>
      </c>
      <c r="AE24" s="184">
        <f t="shared" si="17"/>
        <v>20000</v>
      </c>
      <c r="AF24" s="185">
        <f t="shared" si="11"/>
        <v>97967.75820311204</v>
      </c>
      <c r="AG24" s="186">
        <f t="shared" si="12"/>
        <v>-72808.67423111372</v>
      </c>
      <c r="AH24" s="186">
        <f t="shared" si="13"/>
        <v>44645.17268836467</v>
      </c>
      <c r="AI24" s="187">
        <f t="shared" si="14"/>
        <v>-19444.612322086174</v>
      </c>
      <c r="AJ24" s="188" t="str">
        <f t="shared" si="2"/>
        <v>No</v>
      </c>
      <c r="AK24" s="189" t="str">
        <f t="shared" si="3"/>
        <v>Yes</v>
      </c>
      <c r="AL24" s="190" t="str">
        <f t="shared" si="4"/>
        <v>No</v>
      </c>
      <c r="AM24" s="23"/>
      <c r="AN24" s="12"/>
      <c r="AQ24" s="11"/>
      <c r="AR24" s="230">
        <v>5</v>
      </c>
      <c r="AS24" s="231" t="s">
        <v>20</v>
      </c>
      <c r="AT24" s="212">
        <f t="shared" si="19"/>
        <v>14501.069971135643</v>
      </c>
      <c r="AU24" s="212">
        <f t="shared" si="20"/>
        <v>1063.7142098802296</v>
      </c>
      <c r="AV24" s="212">
        <f t="shared" si="21"/>
        <v>-7574.0021897083643</v>
      </c>
      <c r="AW24" s="212">
        <f t="shared" si="24"/>
        <v>-3047.855081118742</v>
      </c>
      <c r="AX24" s="232">
        <f t="shared" ref="AX24:AX31" si="25">IF(AW24&gt;0,0,AW24)</f>
        <v>-3047.855081118742</v>
      </c>
      <c r="AY24" s="233">
        <f t="shared" si="23"/>
        <v>3.0478550811187419E-2</v>
      </c>
      <c r="AZ24" s="101"/>
      <c r="BA24" s="101"/>
      <c r="BB24" s="12"/>
      <c r="BC24" s="12"/>
      <c r="BD24" s="12"/>
      <c r="BE24" s="12"/>
      <c r="BF24" s="12"/>
      <c r="BG24" s="12"/>
      <c r="BH24" s="12"/>
      <c r="BI24" s="12"/>
      <c r="BJ24" s="12"/>
      <c r="BK24" s="12"/>
      <c r="BL24" s="12"/>
      <c r="BM24" s="12"/>
      <c r="BN24" s="12"/>
      <c r="BO24" s="12"/>
      <c r="BP24" s="12"/>
      <c r="BQ24" s="65"/>
      <c r="BS24" s="135">
        <v>2</v>
      </c>
      <c r="BT24" s="136">
        <v>0.87090673832984966</v>
      </c>
    </row>
    <row r="25" spans="1:72" ht="15.75" thickBot="1">
      <c r="A25" s="39"/>
      <c r="B25" s="11"/>
      <c r="C25" s="12"/>
      <c r="D25" s="12"/>
      <c r="E25" s="12"/>
      <c r="F25" s="12"/>
      <c r="G25" s="12"/>
      <c r="H25" s="12"/>
      <c r="I25" s="12"/>
      <c r="J25" s="12"/>
      <c r="K25" s="12"/>
      <c r="L25" s="12"/>
      <c r="M25" s="12"/>
      <c r="N25" s="12"/>
      <c r="O25" s="12"/>
      <c r="P25" s="12"/>
      <c r="Q25" s="13" t="s">
        <v>49</v>
      </c>
      <c r="R25" s="57"/>
      <c r="S25" s="57"/>
      <c r="T25" s="58"/>
      <c r="U25" s="65"/>
      <c r="W25" s="153">
        <f t="shared" si="7"/>
        <v>37135</v>
      </c>
      <c r="X25" s="154">
        <v>9</v>
      </c>
      <c r="Y25" s="155">
        <v>45.5</v>
      </c>
      <c r="Z25" s="156">
        <f t="shared" si="10"/>
        <v>79030.979396834882</v>
      </c>
      <c r="AA25" s="157">
        <f t="shared" si="18"/>
        <v>909.9980093560298</v>
      </c>
      <c r="AC25" s="182">
        <f t="shared" si="15"/>
        <v>42948</v>
      </c>
      <c r="AD25" s="183">
        <f t="shared" si="16"/>
        <v>100000</v>
      </c>
      <c r="AE25" s="184">
        <f t="shared" si="17"/>
        <v>20000</v>
      </c>
      <c r="AF25" s="185">
        <f t="shared" si="11"/>
        <v>89806.479678842778</v>
      </c>
      <c r="AG25" s="186">
        <f t="shared" si="12"/>
        <v>-88335.846521349609</v>
      </c>
      <c r="AH25" s="186">
        <f t="shared" si="13"/>
        <v>33246.520354334614</v>
      </c>
      <c r="AI25" s="187">
        <f t="shared" si="14"/>
        <v>-33552.517169304243</v>
      </c>
      <c r="AJ25" s="188" t="str">
        <f t="shared" si="2"/>
        <v>No</v>
      </c>
      <c r="AK25" s="189" t="str">
        <f t="shared" si="3"/>
        <v>Yes</v>
      </c>
      <c r="AL25" s="190" t="str">
        <f t="shared" si="4"/>
        <v>No</v>
      </c>
      <c r="AM25" s="23"/>
      <c r="AN25" s="12"/>
      <c r="AQ25" s="11"/>
      <c r="AR25" s="230">
        <v>6</v>
      </c>
      <c r="AS25" s="231" t="s">
        <v>21</v>
      </c>
      <c r="AT25" s="212">
        <f t="shared" si="19"/>
        <v>7574.0021897083643</v>
      </c>
      <c r="AU25" s="212">
        <f t="shared" si="20"/>
        <v>-726.45234066553724</v>
      </c>
      <c r="AV25" s="212">
        <f t="shared" si="21"/>
        <v>-6578.8295013436873</v>
      </c>
      <c r="AW25" s="212">
        <f t="shared" si="24"/>
        <v>-2703.6179954215186</v>
      </c>
      <c r="AX25" s="232">
        <f t="shared" si="25"/>
        <v>-2703.6179954215186</v>
      </c>
      <c r="AY25" s="233">
        <f t="shared" si="23"/>
        <v>2.7036179954215186E-2</v>
      </c>
      <c r="AZ25" s="101"/>
      <c r="BA25" s="101"/>
      <c r="BB25" s="12"/>
      <c r="BC25" s="12"/>
      <c r="BD25" s="12"/>
      <c r="BE25" s="12"/>
      <c r="BF25" s="12"/>
      <c r="BG25" s="12"/>
      <c r="BH25" s="12"/>
      <c r="BI25" s="12"/>
      <c r="BJ25" s="12"/>
      <c r="BK25" s="12"/>
      <c r="BL25" s="12"/>
      <c r="BM25" s="12"/>
      <c r="BN25" s="12"/>
      <c r="BO25" s="12"/>
      <c r="BP25" s="12"/>
      <c r="BQ25" s="65"/>
      <c r="BS25" s="135">
        <v>2.1</v>
      </c>
      <c r="BT25" s="136">
        <v>1.0202050363292525</v>
      </c>
    </row>
    <row r="26" spans="1:72">
      <c r="A26" s="39"/>
      <c r="B26" s="11"/>
      <c r="C26" s="12"/>
      <c r="D26" s="12"/>
      <c r="E26" s="12"/>
      <c r="F26" s="12"/>
      <c r="G26" s="12"/>
      <c r="H26" s="12"/>
      <c r="I26" s="12"/>
      <c r="J26" s="12"/>
      <c r="K26" s="12"/>
      <c r="L26" s="12"/>
      <c r="M26" s="12"/>
      <c r="N26" s="12"/>
      <c r="O26" s="12"/>
      <c r="P26" s="12"/>
      <c r="Q26" s="105" t="s">
        <v>50</v>
      </c>
      <c r="R26" s="123">
        <v>0.1</v>
      </c>
      <c r="S26" s="12"/>
      <c r="T26" s="65"/>
      <c r="U26" s="65"/>
      <c r="W26" s="153">
        <f t="shared" si="7"/>
        <v>37165</v>
      </c>
      <c r="X26" s="154">
        <v>10</v>
      </c>
      <c r="Y26" s="155">
        <v>45.4</v>
      </c>
      <c r="Z26" s="156">
        <f t="shared" si="10"/>
        <v>78575.89330148304</v>
      </c>
      <c r="AA26" s="157">
        <f t="shared" si="18"/>
        <v>-455.08609535184223</v>
      </c>
      <c r="AC26" s="182">
        <f t="shared" si="15"/>
        <v>42979</v>
      </c>
      <c r="AD26" s="183">
        <f t="shared" si="16"/>
        <v>100000</v>
      </c>
      <c r="AE26" s="184">
        <f t="shared" si="17"/>
        <v>20000</v>
      </c>
      <c r="AF26" s="185">
        <f t="shared" si="11"/>
        <v>85789.663581168512</v>
      </c>
      <c r="AG26" s="186">
        <f t="shared" si="12"/>
        <v>-113986.51338708066</v>
      </c>
      <c r="AH26" s="186">
        <f t="shared" si="13"/>
        <v>26062.161839355023</v>
      </c>
      <c r="AI26" s="187">
        <f t="shared" si="14"/>
        <v>-41845.544938787672</v>
      </c>
      <c r="AJ26" s="188" t="str">
        <f t="shared" si="2"/>
        <v>No</v>
      </c>
      <c r="AK26" s="189" t="str">
        <f t="shared" si="3"/>
        <v>Yes</v>
      </c>
      <c r="AL26" s="190" t="str">
        <f t="shared" si="4"/>
        <v>No</v>
      </c>
      <c r="AM26" s="23"/>
      <c r="AN26" s="12"/>
      <c r="AQ26" s="11"/>
      <c r="AR26" s="230">
        <v>7</v>
      </c>
      <c r="AS26" s="231" t="s">
        <v>22</v>
      </c>
      <c r="AT26" s="212">
        <f t="shared" si="19"/>
        <v>5223.3004877077765</v>
      </c>
      <c r="AU26" s="212">
        <f t="shared" si="20"/>
        <v>-5072.8442984638859</v>
      </c>
      <c r="AV26" s="212">
        <f t="shared" si="21"/>
        <v>-15167.761520852</v>
      </c>
      <c r="AW26" s="212">
        <f t="shared" si="24"/>
        <v>-5576.7940678809537</v>
      </c>
      <c r="AX26" s="232">
        <f t="shared" si="25"/>
        <v>-5576.7940678809537</v>
      </c>
      <c r="AY26" s="233">
        <f t="shared" si="23"/>
        <v>5.5767940678809538E-2</v>
      </c>
      <c r="AZ26" s="101"/>
      <c r="BA26" s="101"/>
      <c r="BB26" s="12"/>
      <c r="BC26" s="12"/>
      <c r="BD26" s="12"/>
      <c r="BE26" s="12"/>
      <c r="BF26" s="12"/>
      <c r="BG26" s="12"/>
      <c r="BH26" s="12"/>
      <c r="BI26" s="12"/>
      <c r="BJ26" s="12"/>
      <c r="BK26" s="12"/>
      <c r="BL26" s="12"/>
      <c r="BM26" s="12"/>
      <c r="BN26" s="12"/>
      <c r="BO26" s="12"/>
      <c r="BP26" s="12"/>
      <c r="BQ26" s="65"/>
      <c r="BS26" s="135">
        <v>2.2000000000000002</v>
      </c>
      <c r="BT26" s="136">
        <v>1.2690355329949239</v>
      </c>
    </row>
    <row r="27" spans="1:72">
      <c r="A27" s="39"/>
      <c r="B27" s="11"/>
      <c r="C27" s="12"/>
      <c r="D27" s="12"/>
      <c r="E27" s="12"/>
      <c r="F27" s="12"/>
      <c r="G27" s="12"/>
      <c r="H27" s="12"/>
      <c r="I27" s="12"/>
      <c r="J27" s="12"/>
      <c r="K27" s="12"/>
      <c r="L27" s="12"/>
      <c r="M27" s="12"/>
      <c r="N27" s="12"/>
      <c r="O27" s="12"/>
      <c r="P27" s="12"/>
      <c r="Q27" s="11"/>
      <c r="R27" s="124">
        <v>0.25</v>
      </c>
      <c r="S27" s="12"/>
      <c r="T27" s="65"/>
      <c r="U27" s="65"/>
      <c r="W27" s="153">
        <f t="shared" si="7"/>
        <v>37196</v>
      </c>
      <c r="X27" s="154">
        <v>11</v>
      </c>
      <c r="Y27" s="155">
        <v>45.1</v>
      </c>
      <c r="Z27" s="156">
        <f t="shared" si="10"/>
        <v>77212.750074649157</v>
      </c>
      <c r="AA27" s="157">
        <f t="shared" si="18"/>
        <v>-1363.1432268338831</v>
      </c>
      <c r="AC27" s="182">
        <f t="shared" si="15"/>
        <v>43009</v>
      </c>
      <c r="AD27" s="183">
        <f t="shared" si="16"/>
        <v>100000</v>
      </c>
      <c r="AE27" s="184">
        <f t="shared" si="17"/>
        <v>20000</v>
      </c>
      <c r="AF27" s="185">
        <f t="shared" si="11"/>
        <v>84892.494608672569</v>
      </c>
      <c r="AG27" s="186">
        <f t="shared" si="12"/>
        <v>-126792.5251318801</v>
      </c>
      <c r="AH27" s="186">
        <f t="shared" si="13"/>
        <v>21898.701104807398</v>
      </c>
      <c r="AI27" s="187">
        <f t="shared" si="14"/>
        <v>-51769.293321389443</v>
      </c>
      <c r="AJ27" s="188" t="str">
        <f t="shared" si="2"/>
        <v>No</v>
      </c>
      <c r="AK27" s="189" t="str">
        <f t="shared" si="3"/>
        <v>Yes</v>
      </c>
      <c r="AL27" s="190" t="str">
        <f t="shared" si="4"/>
        <v>No</v>
      </c>
      <c r="AM27" s="23"/>
      <c r="AN27" s="12"/>
      <c r="AQ27" s="11"/>
      <c r="AR27" s="230">
        <v>8</v>
      </c>
      <c r="AS27" s="231" t="s">
        <v>23</v>
      </c>
      <c r="AT27" s="212">
        <f t="shared" si="19"/>
        <v>5209.9382900368219</v>
      </c>
      <c r="AU27" s="212">
        <f t="shared" si="20"/>
        <v>-8161.2785242692671</v>
      </c>
      <c r="AV27" s="212">
        <f t="shared" si="21"/>
        <v>-15527.172290235889</v>
      </c>
      <c r="AW27" s="212">
        <f t="shared" si="24"/>
        <v>-11398.652334030059</v>
      </c>
      <c r="AX27" s="232">
        <f t="shared" si="25"/>
        <v>-11398.652334030059</v>
      </c>
      <c r="AY27" s="233">
        <f t="shared" si="23"/>
        <v>0.11398652334030059</v>
      </c>
      <c r="AZ27" s="101"/>
      <c r="BA27" s="101"/>
      <c r="BB27" s="12"/>
      <c r="BC27" s="12"/>
      <c r="BD27" s="12"/>
      <c r="BE27" s="12"/>
      <c r="BF27" s="12"/>
      <c r="BG27" s="12"/>
      <c r="BH27" s="12"/>
      <c r="BI27" s="12"/>
      <c r="BJ27" s="12"/>
      <c r="BK27" s="12"/>
      <c r="BL27" s="12"/>
      <c r="BM27" s="12"/>
      <c r="BN27" s="12"/>
      <c r="BO27" s="12"/>
      <c r="BP27" s="12"/>
      <c r="BQ27" s="65"/>
      <c r="BS27" s="135">
        <v>2.2999999999999998</v>
      </c>
      <c r="BT27" s="136">
        <v>1.716930426993132</v>
      </c>
    </row>
    <row r="28" spans="1:72">
      <c r="A28" s="39"/>
      <c r="B28" s="11"/>
      <c r="C28" s="12"/>
      <c r="D28" s="12"/>
      <c r="E28" s="12"/>
      <c r="F28" s="12"/>
      <c r="G28" s="12"/>
      <c r="H28" s="12"/>
      <c r="I28" s="12"/>
      <c r="J28" s="12"/>
      <c r="K28" s="12"/>
      <c r="L28" s="12"/>
      <c r="M28" s="12"/>
      <c r="N28" s="12"/>
      <c r="O28" s="12"/>
      <c r="P28" s="12"/>
      <c r="Q28" s="11"/>
      <c r="R28" s="124">
        <v>0.5</v>
      </c>
      <c r="S28" s="12"/>
      <c r="T28" s="65"/>
      <c r="U28" s="65"/>
      <c r="W28" s="153">
        <f t="shared" si="7"/>
        <v>37226</v>
      </c>
      <c r="X28" s="154">
        <v>12</v>
      </c>
      <c r="Y28" s="155">
        <v>47</v>
      </c>
      <c r="Z28" s="156">
        <f t="shared" si="10"/>
        <v>85911.466109286353</v>
      </c>
      <c r="AA28" s="157">
        <f t="shared" si="18"/>
        <v>8698.7160346371966</v>
      </c>
      <c r="AC28" s="182">
        <f t="shared" si="15"/>
        <v>43040</v>
      </c>
      <c r="AD28" s="183">
        <f t="shared" si="16"/>
        <v>100000</v>
      </c>
      <c r="AE28" s="184">
        <f t="shared" si="17"/>
        <v>20000</v>
      </c>
      <c r="AF28" s="185">
        <f t="shared" si="11"/>
        <v>85793.007863043691</v>
      </c>
      <c r="AG28" s="186">
        <f t="shared" si="12"/>
        <v>-132912.46143127297</v>
      </c>
      <c r="AH28" s="186">
        <f t="shared" si="13"/>
        <v>19300.243853886725</v>
      </c>
      <c r="AI28" s="187">
        <f t="shared" si="14"/>
        <v>-56939.284363491563</v>
      </c>
      <c r="AJ28" s="188" t="str">
        <f t="shared" si="2"/>
        <v>No</v>
      </c>
      <c r="AK28" s="189" t="str">
        <f t="shared" si="3"/>
        <v>Yes</v>
      </c>
      <c r="AL28" s="190" t="str">
        <f t="shared" si="4"/>
        <v>Yes</v>
      </c>
      <c r="AM28" s="23"/>
      <c r="AN28" s="12"/>
      <c r="AQ28" s="11"/>
      <c r="AR28" s="230">
        <v>9</v>
      </c>
      <c r="AS28" s="231" t="s">
        <v>24</v>
      </c>
      <c r="AT28" s="212">
        <f t="shared" si="19"/>
        <v>8857.3006867721851</v>
      </c>
      <c r="AU28" s="212">
        <f t="shared" si="20"/>
        <v>-4016.8160976742643</v>
      </c>
      <c r="AV28" s="212">
        <f t="shared" si="21"/>
        <v>-25650.666865731058</v>
      </c>
      <c r="AW28" s="212">
        <f t="shared" si="24"/>
        <v>-7184.358514979589</v>
      </c>
      <c r="AX28" s="232">
        <f t="shared" si="25"/>
        <v>-7184.358514979589</v>
      </c>
      <c r="AY28" s="233">
        <f t="shared" si="23"/>
        <v>7.1843585149795886E-2</v>
      </c>
      <c r="AZ28" s="101"/>
      <c r="BA28" s="101"/>
      <c r="BB28" s="12"/>
      <c r="BC28" s="12"/>
      <c r="BD28" s="12"/>
      <c r="BE28" s="12"/>
      <c r="BF28" s="12"/>
      <c r="BG28" s="12"/>
      <c r="BH28" s="12"/>
      <c r="BI28" s="12"/>
      <c r="BJ28" s="12"/>
      <c r="BK28" s="12"/>
      <c r="BL28" s="12"/>
      <c r="BM28" s="12"/>
      <c r="BN28" s="12"/>
      <c r="BO28" s="12"/>
      <c r="BP28" s="12"/>
      <c r="BQ28" s="65"/>
      <c r="BS28" s="135">
        <v>2.4</v>
      </c>
      <c r="BT28" s="136">
        <v>2.4136558176570122</v>
      </c>
    </row>
    <row r="29" spans="1:72">
      <c r="A29" s="39"/>
      <c r="B29" s="11"/>
      <c r="C29" s="12"/>
      <c r="D29" s="12"/>
      <c r="E29" s="12"/>
      <c r="F29" s="12"/>
      <c r="G29" s="12"/>
      <c r="H29" s="12"/>
      <c r="I29" s="12"/>
      <c r="J29" s="12"/>
      <c r="K29" s="12"/>
      <c r="L29" s="12"/>
      <c r="M29" s="12"/>
      <c r="N29" s="12"/>
      <c r="O29" s="12"/>
      <c r="P29" s="12"/>
      <c r="Q29" s="11"/>
      <c r="R29" s="124">
        <v>0.75</v>
      </c>
      <c r="S29" s="12"/>
      <c r="T29" s="65"/>
      <c r="U29" s="65"/>
      <c r="W29" s="153">
        <f t="shared" si="7"/>
        <v>37257</v>
      </c>
      <c r="X29" s="154">
        <v>1</v>
      </c>
      <c r="Y29" s="155">
        <v>48</v>
      </c>
      <c r="Z29" s="156">
        <f t="shared" si="10"/>
        <v>90554.817358415443</v>
      </c>
      <c r="AA29" s="157">
        <f t="shared" si="18"/>
        <v>4643.3512491290894</v>
      </c>
      <c r="AC29" s="182">
        <f>DATE(YEAR(AC28),MONTH(AC28)+1,DAY(AC28))</f>
        <v>43070</v>
      </c>
      <c r="AD29" s="183">
        <f t="shared" si="16"/>
        <v>100000</v>
      </c>
      <c r="AE29" s="184">
        <f t="shared" si="17"/>
        <v>20000</v>
      </c>
      <c r="AF29" s="185">
        <f t="shared" si="11"/>
        <v>86680.801897747253</v>
      </c>
      <c r="AG29" s="186">
        <f t="shared" si="12"/>
        <v>-140612.8695132875</v>
      </c>
      <c r="AH29" s="186">
        <f t="shared" si="13"/>
        <v>15769.234597392231</v>
      </c>
      <c r="AI29" s="187">
        <f t="shared" si="14"/>
        <v>-63223.896685577754</v>
      </c>
      <c r="AJ29" s="188" t="str">
        <f t="shared" si="2"/>
        <v>No</v>
      </c>
      <c r="AK29" s="189" t="str">
        <f t="shared" si="3"/>
        <v>Yes</v>
      </c>
      <c r="AL29" s="190" t="str">
        <f t="shared" si="4"/>
        <v>Yes</v>
      </c>
      <c r="AM29" s="23"/>
      <c r="AN29" s="12"/>
      <c r="AQ29" s="11"/>
      <c r="AR29" s="230">
        <v>10</v>
      </c>
      <c r="AS29" s="231" t="s">
        <v>25</v>
      </c>
      <c r="AT29" s="212">
        <f t="shared" si="19"/>
        <v>11625.908231312831</v>
      </c>
      <c r="AU29" s="212">
        <f t="shared" si="20"/>
        <v>-897.16897249593706</v>
      </c>
      <c r="AV29" s="212">
        <f t="shared" si="21"/>
        <v>-12806.011744799434</v>
      </c>
      <c r="AW29" s="212">
        <f t="shared" si="24"/>
        <v>-4163.4607345476243</v>
      </c>
      <c r="AX29" s="232">
        <f t="shared" si="25"/>
        <v>-4163.4607345476243</v>
      </c>
      <c r="AY29" s="233">
        <f t="shared" si="23"/>
        <v>4.1634607345476242E-2</v>
      </c>
      <c r="AZ29" s="101"/>
      <c r="BA29" s="101"/>
      <c r="BB29" s="12"/>
      <c r="BC29" s="12"/>
      <c r="BD29" s="12"/>
      <c r="BE29" s="12"/>
      <c r="BF29" s="12"/>
      <c r="BG29" s="12"/>
      <c r="BH29" s="12"/>
      <c r="BI29" s="12"/>
      <c r="BJ29" s="12"/>
      <c r="BK29" s="12"/>
      <c r="BL29" s="12"/>
      <c r="BM29" s="12"/>
      <c r="BN29" s="12"/>
      <c r="BO29" s="12"/>
      <c r="BP29" s="12"/>
      <c r="BQ29" s="65"/>
      <c r="BS29" s="135">
        <v>2.5</v>
      </c>
      <c r="BT29" s="136">
        <v>3.2845625559868616</v>
      </c>
    </row>
    <row r="30" spans="1:72" ht="15.75" thickBot="1">
      <c r="A30" s="39"/>
      <c r="B30" s="11"/>
      <c r="C30" s="12"/>
      <c r="D30" s="12"/>
      <c r="E30" s="12"/>
      <c r="F30" s="12"/>
      <c r="G30" s="12"/>
      <c r="H30" s="12"/>
      <c r="I30" s="12"/>
      <c r="J30" s="12"/>
      <c r="K30" s="12"/>
      <c r="L30" s="12"/>
      <c r="M30" s="12"/>
      <c r="N30" s="12"/>
      <c r="O30" s="12"/>
      <c r="P30" s="12"/>
      <c r="Q30" s="106" t="s">
        <v>55</v>
      </c>
      <c r="R30" s="125">
        <v>0.95</v>
      </c>
      <c r="S30" s="73"/>
      <c r="T30" s="75"/>
      <c r="U30" s="65"/>
      <c r="W30" s="153">
        <f t="shared" si="7"/>
        <v>37288</v>
      </c>
      <c r="X30" s="154">
        <v>2</v>
      </c>
      <c r="Y30" s="155">
        <v>50.5</v>
      </c>
      <c r="Z30" s="156">
        <f t="shared" si="10"/>
        <v>100000</v>
      </c>
      <c r="AA30" s="157">
        <f t="shared" si="18"/>
        <v>9445.1826415845571</v>
      </c>
      <c r="AC30" s="182">
        <f>DATE(YEAR(AC29),MONTH(AC29)+1,DAY(AC29))</f>
        <v>43101</v>
      </c>
      <c r="AD30" s="183">
        <f t="shared" si="16"/>
        <v>100000</v>
      </c>
      <c r="AE30" s="184">
        <f t="shared" si="17"/>
        <v>20000</v>
      </c>
      <c r="AF30" s="185">
        <f t="shared" si="11"/>
        <v>89765.828937327897</v>
      </c>
      <c r="AG30" s="186">
        <f t="shared" si="12"/>
        <v>-149900.81616402901</v>
      </c>
      <c r="AH30" s="186">
        <f t="shared" si="13"/>
        <v>14805.245346869679</v>
      </c>
      <c r="AI30" s="187">
        <f t="shared" si="14"/>
        <v>-67956.568129789943</v>
      </c>
      <c r="AJ30" s="188" t="str">
        <f t="shared" si="2"/>
        <v>No</v>
      </c>
      <c r="AK30" s="189" t="str">
        <f t="shared" si="3"/>
        <v>Yes</v>
      </c>
      <c r="AL30" s="190" t="str">
        <f t="shared" si="4"/>
        <v>Yes</v>
      </c>
      <c r="AM30" s="23"/>
      <c r="AN30" s="12"/>
      <c r="AQ30" s="11"/>
      <c r="AR30" s="230">
        <v>11</v>
      </c>
      <c r="AS30" s="231" t="s">
        <v>29</v>
      </c>
      <c r="AT30" s="212">
        <f t="shared" si="19"/>
        <v>18232.979994028065</v>
      </c>
      <c r="AU30" s="212">
        <f t="shared" si="20"/>
        <v>900.513254371122</v>
      </c>
      <c r="AV30" s="212">
        <f t="shared" si="21"/>
        <v>-6119.9362993928517</v>
      </c>
      <c r="AW30" s="212">
        <f t="shared" si="24"/>
        <v>-2598.4572509206741</v>
      </c>
      <c r="AX30" s="232">
        <f t="shared" si="25"/>
        <v>-2598.4572509206741</v>
      </c>
      <c r="AY30" s="233">
        <f t="shared" si="23"/>
        <v>2.598457250920674E-2</v>
      </c>
      <c r="AZ30" s="101"/>
      <c r="BA30" s="101"/>
      <c r="BB30" s="12"/>
      <c r="BC30" s="12"/>
      <c r="BD30" s="12"/>
      <c r="BE30" s="12"/>
      <c r="BF30" s="12"/>
      <c r="BG30" s="12"/>
      <c r="BH30" s="12"/>
      <c r="BI30" s="12"/>
      <c r="BJ30" s="12"/>
      <c r="BK30" s="12"/>
      <c r="BL30" s="12"/>
      <c r="BM30" s="12"/>
      <c r="BN30" s="12"/>
      <c r="BO30" s="12"/>
      <c r="BP30" s="12"/>
      <c r="BQ30" s="65"/>
      <c r="BS30" s="135">
        <v>2.6</v>
      </c>
      <c r="BT30" s="136">
        <v>4.3047675923161144</v>
      </c>
    </row>
    <row r="31" spans="1:72" ht="15.75" thickBot="1">
      <c r="A31" s="39"/>
      <c r="B31" s="11"/>
      <c r="C31" s="12"/>
      <c r="D31" s="12"/>
      <c r="E31" s="12"/>
      <c r="F31" s="12"/>
      <c r="G31" s="12"/>
      <c r="H31" s="12"/>
      <c r="I31" s="12"/>
      <c r="J31" s="12"/>
      <c r="K31" s="12"/>
      <c r="L31" s="12"/>
      <c r="M31" s="12"/>
      <c r="N31" s="12"/>
      <c r="O31" s="12"/>
      <c r="P31" s="12"/>
      <c r="U31" s="65"/>
      <c r="W31" s="153">
        <f t="shared" si="7"/>
        <v>37316</v>
      </c>
      <c r="X31" s="154">
        <v>3</v>
      </c>
      <c r="Y31" s="155">
        <v>50.1</v>
      </c>
      <c r="Z31" s="156">
        <v>99000</v>
      </c>
      <c r="AA31" s="157">
        <f t="shared" si="18"/>
        <v>-1000</v>
      </c>
      <c r="AC31" s="182">
        <f t="shared" si="15"/>
        <v>43132</v>
      </c>
      <c r="AD31" s="183">
        <f t="shared" si="16"/>
        <v>100000</v>
      </c>
      <c r="AE31" s="184">
        <f t="shared" si="17"/>
        <v>20000</v>
      </c>
      <c r="AF31" s="185">
        <f t="shared" si="11"/>
        <v>93725.652765336257</v>
      </c>
      <c r="AG31" s="186">
        <f t="shared" si="12"/>
        <v>-158560.66487508704</v>
      </c>
      <c r="AH31" s="186">
        <f t="shared" si="13"/>
        <v>14805.245346869679</v>
      </c>
      <c r="AI31" s="187">
        <f t="shared" si="14"/>
        <v>-72790.130387180208</v>
      </c>
      <c r="AJ31" s="188" t="str">
        <f t="shared" si="2"/>
        <v>No</v>
      </c>
      <c r="AK31" s="189" t="str">
        <f t="shared" si="3"/>
        <v>Yes</v>
      </c>
      <c r="AL31" s="190" t="str">
        <f t="shared" si="4"/>
        <v>Yes</v>
      </c>
      <c r="AM31" s="23"/>
      <c r="AN31" s="12"/>
      <c r="AQ31" s="11"/>
      <c r="AR31" s="235">
        <v>12</v>
      </c>
      <c r="AS31" s="236" t="s">
        <v>30</v>
      </c>
      <c r="AT31" s="215">
        <f t="shared" si="19"/>
        <v>12671.070966457657</v>
      </c>
      <c r="AU31" s="215">
        <f t="shared" si="20"/>
        <v>887.79403470355953</v>
      </c>
      <c r="AV31" s="215">
        <f t="shared" si="21"/>
        <v>-7700.4080820145173</v>
      </c>
      <c r="AW31" s="215">
        <f t="shared" si="24"/>
        <v>-3531.0092564944935</v>
      </c>
      <c r="AX31" s="334">
        <f t="shared" si="25"/>
        <v>-3531.0092564944935</v>
      </c>
      <c r="AY31" s="237">
        <f t="shared" si="23"/>
        <v>3.5310092564944932E-2</v>
      </c>
      <c r="AZ31" s="101"/>
      <c r="BA31" s="101"/>
      <c r="BB31" s="12"/>
      <c r="BC31" s="12"/>
      <c r="BD31" s="12"/>
      <c r="BE31" s="12"/>
      <c r="BF31" s="12"/>
      <c r="BG31" s="12"/>
      <c r="BH31" s="12"/>
      <c r="BI31" s="12"/>
      <c r="BJ31" s="12"/>
      <c r="BK31" s="12"/>
      <c r="BL31" s="12"/>
      <c r="BM31" s="12"/>
      <c r="BN31" s="12"/>
      <c r="BO31" s="12"/>
      <c r="BP31" s="12"/>
      <c r="BQ31" s="65"/>
      <c r="BS31" s="135">
        <v>2.7</v>
      </c>
      <c r="BT31" s="136">
        <v>5.4991539763113364</v>
      </c>
    </row>
    <row r="32" spans="1:72">
      <c r="A32" s="39"/>
      <c r="B32" s="11"/>
      <c r="C32" s="12"/>
      <c r="D32" s="12"/>
      <c r="E32" s="12"/>
      <c r="F32" s="12"/>
      <c r="G32" s="12"/>
      <c r="H32" s="12"/>
      <c r="I32" s="12"/>
      <c r="J32" s="12"/>
      <c r="K32" s="12"/>
      <c r="L32" s="12"/>
      <c r="M32" s="12"/>
      <c r="N32" s="12"/>
      <c r="O32" s="12"/>
      <c r="P32" s="12"/>
      <c r="Q32" s="12"/>
      <c r="R32" s="23"/>
      <c r="S32" s="23"/>
      <c r="T32" s="12"/>
      <c r="U32" s="65"/>
      <c r="W32" s="153">
        <f t="shared" si="7"/>
        <v>37347</v>
      </c>
      <c r="X32" s="154">
        <v>4</v>
      </c>
      <c r="Y32" s="155">
        <v>50.1</v>
      </c>
      <c r="Z32" s="156">
        <f>VLOOKUP(Y32,$BS$4:$BT$1905,2)</f>
        <v>100000</v>
      </c>
      <c r="AA32" s="157">
        <f t="shared" si="18"/>
        <v>1000</v>
      </c>
      <c r="AC32" s="182">
        <f t="shared" si="15"/>
        <v>43160</v>
      </c>
      <c r="AD32" s="183">
        <f t="shared" si="16"/>
        <v>100000</v>
      </c>
      <c r="AE32" s="184">
        <f t="shared" si="17"/>
        <v>20000</v>
      </c>
      <c r="AF32" s="185">
        <f t="shared" si="11"/>
        <v>98316.637470555055</v>
      </c>
      <c r="AG32" s="186">
        <f t="shared" si="12"/>
        <v>-166115.93012839649</v>
      </c>
      <c r="AH32" s="186">
        <f t="shared" si="13"/>
        <v>14805.245346869679</v>
      </c>
      <c r="AI32" s="187">
        <f t="shared" si="14"/>
        <v>-76170.169204737686</v>
      </c>
      <c r="AJ32" s="188" t="str">
        <f t="shared" si="2"/>
        <v>No</v>
      </c>
      <c r="AK32" s="189" t="str">
        <f t="shared" si="3"/>
        <v>Yes</v>
      </c>
      <c r="AL32" s="190" t="str">
        <f t="shared" si="4"/>
        <v>Yes</v>
      </c>
      <c r="AM32" s="23"/>
      <c r="AN32" s="12"/>
      <c r="AQ32" s="11"/>
      <c r="AR32" s="110" t="s">
        <v>71</v>
      </c>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65"/>
      <c r="BS32" s="135">
        <v>2.8</v>
      </c>
      <c r="BT32" s="136">
        <v>6.8179556086393962</v>
      </c>
    </row>
    <row r="33" spans="1:72" ht="15.75" thickBot="1">
      <c r="A33" s="39"/>
      <c r="B33" s="11"/>
      <c r="C33" s="12"/>
      <c r="D33" s="12"/>
      <c r="E33" s="12"/>
      <c r="F33" s="12"/>
      <c r="G33" s="12"/>
      <c r="H33" s="12"/>
      <c r="I33" s="12"/>
      <c r="J33" s="12"/>
      <c r="K33" s="12"/>
      <c r="L33" s="12"/>
      <c r="M33" s="12"/>
      <c r="N33" s="12"/>
      <c r="O33" s="12"/>
      <c r="P33" s="12"/>
      <c r="U33" s="65"/>
      <c r="W33" s="153">
        <f t="shared" si="7"/>
        <v>37377</v>
      </c>
      <c r="X33" s="154">
        <v>5</v>
      </c>
      <c r="Y33" s="155">
        <v>49.6</v>
      </c>
      <c r="Z33" s="156">
        <f>VLOOKUP(Y33,$BS$4:$BT$1905,2)</f>
        <v>98091.669154971634</v>
      </c>
      <c r="AA33" s="157">
        <f t="shared" si="18"/>
        <v>-1908.3308450283657</v>
      </c>
      <c r="AC33" s="182">
        <f t="shared" si="15"/>
        <v>43191</v>
      </c>
      <c r="AD33" s="183">
        <f t="shared" si="16"/>
        <v>100000</v>
      </c>
      <c r="AE33" s="184">
        <f t="shared" si="17"/>
        <v>20000</v>
      </c>
      <c r="AF33" s="185">
        <f t="shared" si="11"/>
        <v>100995.34985567832</v>
      </c>
      <c r="AG33" s="186">
        <f t="shared" si="12"/>
        <v>-171339.23061610427</v>
      </c>
      <c r="AH33" s="186">
        <f t="shared" si="13"/>
        <v>14805.245346869679</v>
      </c>
      <c r="AI33" s="187">
        <f t="shared" si="14"/>
        <v>-79608.220364287801</v>
      </c>
      <c r="AJ33" s="188" t="str">
        <f t="shared" si="2"/>
        <v>No</v>
      </c>
      <c r="AK33" s="189" t="str">
        <f t="shared" si="3"/>
        <v>Yes</v>
      </c>
      <c r="AL33" s="190" t="str">
        <f t="shared" si="4"/>
        <v>Yes</v>
      </c>
      <c r="AM33" s="23"/>
      <c r="AN33" s="12"/>
      <c r="AQ33" s="11"/>
      <c r="AR33" s="104"/>
      <c r="AS33" s="12"/>
      <c r="AT33" s="12"/>
      <c r="AU33" s="12"/>
      <c r="AV33" s="12"/>
      <c r="AW33" s="12"/>
      <c r="AX33" s="12"/>
      <c r="AY33" s="12"/>
      <c r="AZ33" s="85"/>
      <c r="BA33" s="12"/>
      <c r="BB33" s="12"/>
      <c r="BC33" s="12"/>
      <c r="BD33" s="12"/>
      <c r="BE33" s="12"/>
      <c r="BF33" s="12"/>
      <c r="BG33" s="12"/>
      <c r="BH33" s="12"/>
      <c r="BI33" s="12"/>
      <c r="BJ33" s="12"/>
      <c r="BK33" s="12"/>
      <c r="BL33" s="12"/>
      <c r="BM33" s="12"/>
      <c r="BN33" s="12"/>
      <c r="BO33" s="12"/>
      <c r="BP33" s="12"/>
      <c r="BQ33" s="65"/>
      <c r="BS33" s="135">
        <v>2.9</v>
      </c>
      <c r="BT33" s="136">
        <v>8.2860555389668562</v>
      </c>
    </row>
    <row r="34" spans="1:72" ht="16.5">
      <c r="A34" s="39"/>
      <c r="B34" s="11"/>
      <c r="C34" s="12"/>
      <c r="D34" s="12"/>
      <c r="E34" s="12"/>
      <c r="F34" s="12"/>
      <c r="G34" s="12"/>
      <c r="H34" s="12"/>
      <c r="I34" s="12"/>
      <c r="J34" s="12"/>
      <c r="K34" s="12"/>
      <c r="L34" s="12"/>
      <c r="M34" s="12"/>
      <c r="N34" s="12"/>
      <c r="O34" s="12"/>
      <c r="P34" s="12"/>
      <c r="U34" s="65"/>
      <c r="W34" s="153">
        <f t="shared" si="7"/>
        <v>37408</v>
      </c>
      <c r="X34" s="154">
        <v>6</v>
      </c>
      <c r="Y34" s="155">
        <v>50.1</v>
      </c>
      <c r="Z34" s="156">
        <f>VLOOKUP(Y34,$BS$4:$BT$1905,2)</f>
        <v>100000</v>
      </c>
      <c r="AA34" s="157">
        <f t="shared" si="18"/>
        <v>1908.3308450283657</v>
      </c>
      <c r="AC34" s="182">
        <f t="shared" si="15"/>
        <v>43221</v>
      </c>
      <c r="AD34" s="183">
        <f t="shared" si="16"/>
        <v>100000</v>
      </c>
      <c r="AE34" s="184">
        <f t="shared" si="17"/>
        <v>20000</v>
      </c>
      <c r="AF34" s="185">
        <f t="shared" si="11"/>
        <v>102059.06406555854</v>
      </c>
      <c r="AG34" s="186">
        <f t="shared" si="12"/>
        <v>-178913.23280581261</v>
      </c>
      <c r="AH34" s="186">
        <f t="shared" si="13"/>
        <v>11757.390265750937</v>
      </c>
      <c r="AI34" s="187">
        <f t="shared" si="14"/>
        <v>-86509.106200855938</v>
      </c>
      <c r="AJ34" s="188" t="str">
        <f t="shared" si="2"/>
        <v>No</v>
      </c>
      <c r="AK34" s="189" t="str">
        <f t="shared" si="3"/>
        <v>Yes</v>
      </c>
      <c r="AL34" s="190" t="str">
        <f t="shared" si="4"/>
        <v>Yes</v>
      </c>
      <c r="AM34" s="23"/>
      <c r="AN34" s="12"/>
      <c r="AQ34" s="11"/>
      <c r="AR34" s="238" t="s">
        <v>51</v>
      </c>
      <c r="AS34" s="239"/>
      <c r="AT34" s="239"/>
      <c r="AU34" s="376" t="s">
        <v>53</v>
      </c>
      <c r="AV34" s="203"/>
      <c r="AW34" s="203"/>
      <c r="AX34" s="203"/>
      <c r="AY34" s="204"/>
      <c r="AZ34" s="85"/>
      <c r="BA34" s="85"/>
      <c r="BB34" s="12"/>
      <c r="BC34" s="12"/>
      <c r="BD34" s="12"/>
      <c r="BE34" s="12"/>
      <c r="BF34" s="12"/>
      <c r="BG34" s="12"/>
      <c r="BH34" s="12"/>
      <c r="BI34" s="12"/>
      <c r="BJ34" s="12"/>
      <c r="BK34" s="12"/>
      <c r="BL34" s="12"/>
      <c r="BM34" s="12"/>
      <c r="BN34" s="12"/>
      <c r="BO34" s="12"/>
      <c r="BP34" s="12"/>
      <c r="BQ34" s="65"/>
      <c r="BS34" s="135">
        <v>3</v>
      </c>
      <c r="BT34" s="136">
        <v>9.9034537672937191</v>
      </c>
    </row>
    <row r="35" spans="1:72" ht="15.75" thickBot="1">
      <c r="A35" s="39"/>
      <c r="B35" s="11"/>
      <c r="C35" s="12"/>
      <c r="D35" s="12"/>
      <c r="E35" s="12"/>
      <c r="F35" s="12"/>
      <c r="G35" s="12"/>
      <c r="H35" s="12"/>
      <c r="I35" s="12"/>
      <c r="J35" s="12"/>
      <c r="K35" s="12"/>
      <c r="L35" s="12"/>
      <c r="M35" s="12"/>
      <c r="N35" s="12"/>
      <c r="O35" s="12"/>
      <c r="P35" s="12"/>
      <c r="U35" s="65"/>
      <c r="W35" s="153">
        <f t="shared" si="7"/>
        <v>37438</v>
      </c>
      <c r="X35" s="154">
        <v>7</v>
      </c>
      <c r="Y35" s="155">
        <v>49.3</v>
      </c>
      <c r="Z35" s="156">
        <f>VLOOKUP(Y35,$BS$4:$BT$1905,2)</f>
        <v>96667.263859858664</v>
      </c>
      <c r="AA35" s="157">
        <f t="shared" si="18"/>
        <v>-3332.7361401413364</v>
      </c>
      <c r="AC35" s="182">
        <f t="shared" si="15"/>
        <v>43252</v>
      </c>
      <c r="AD35" s="183">
        <f t="shared" si="16"/>
        <v>100000</v>
      </c>
      <c r="AE35" s="184">
        <f t="shared" si="17"/>
        <v>20000</v>
      </c>
      <c r="AF35" s="185">
        <f t="shared" si="11"/>
        <v>101332.61172489301</v>
      </c>
      <c r="AG35" s="186">
        <f t="shared" si="12"/>
        <v>-185492.0623071563</v>
      </c>
      <c r="AH35" s="186">
        <f t="shared" si="13"/>
        <v>9053.7722703294185</v>
      </c>
      <c r="AI35" s="187">
        <f t="shared" si="14"/>
        <v>-92637.701801532749</v>
      </c>
      <c r="AJ35" s="188" t="str">
        <f t="shared" si="2"/>
        <v>No</v>
      </c>
      <c r="AK35" s="189" t="str">
        <f t="shared" si="3"/>
        <v>Yes</v>
      </c>
      <c r="AL35" s="190" t="str">
        <f t="shared" si="4"/>
        <v>Yes</v>
      </c>
      <c r="AM35" s="23"/>
      <c r="AN35" s="12"/>
      <c r="AQ35" s="11"/>
      <c r="AR35" s="217" t="s">
        <v>52</v>
      </c>
      <c r="AS35" s="167"/>
      <c r="AT35" s="167"/>
      <c r="AU35" s="377"/>
      <c r="AV35" s="218" t="s">
        <v>54</v>
      </c>
      <c r="AW35" s="167"/>
      <c r="AX35" s="167"/>
      <c r="AY35" s="172"/>
      <c r="AZ35" s="85"/>
      <c r="BA35" s="85"/>
      <c r="BB35" s="12"/>
      <c r="BC35" s="12"/>
      <c r="BD35" s="12"/>
      <c r="BE35" s="12"/>
      <c r="BF35" s="12"/>
      <c r="BG35" s="12"/>
      <c r="BH35" s="12"/>
      <c r="BI35" s="12"/>
      <c r="BJ35" s="12"/>
      <c r="BK35" s="12"/>
      <c r="BL35" s="12"/>
      <c r="BM35" s="12"/>
      <c r="BN35" s="12"/>
      <c r="BO35" s="12"/>
      <c r="BP35" s="12"/>
      <c r="BQ35" s="65"/>
      <c r="BS35" s="135">
        <v>3.1</v>
      </c>
      <c r="BT35" s="136">
        <v>11.670150293619987</v>
      </c>
    </row>
    <row r="36" spans="1:72" ht="16.5">
      <c r="A36" s="39"/>
      <c r="B36" s="11"/>
      <c r="C36" s="12"/>
      <c r="D36" s="12"/>
      <c r="E36" s="12"/>
      <c r="F36" s="12"/>
      <c r="G36" s="12"/>
      <c r="H36" s="12"/>
      <c r="I36" s="12"/>
      <c r="J36" s="12"/>
      <c r="K36" s="12"/>
      <c r="L36" s="12"/>
      <c r="M36" s="12"/>
      <c r="N36" s="12"/>
      <c r="O36" s="12"/>
      <c r="P36" s="12"/>
      <c r="U36" s="65"/>
      <c r="W36" s="153">
        <f t="shared" si="7"/>
        <v>37469</v>
      </c>
      <c r="X36" s="154">
        <v>8</v>
      </c>
      <c r="Y36" s="155">
        <v>46.7</v>
      </c>
      <c r="Z36" s="156">
        <v>88810</v>
      </c>
      <c r="AA36" s="157">
        <f t="shared" si="18"/>
        <v>-7857.2638598586636</v>
      </c>
      <c r="AC36" s="182">
        <f t="shared" si="15"/>
        <v>43282</v>
      </c>
      <c r="AD36" s="183">
        <f t="shared" si="16"/>
        <v>100000</v>
      </c>
      <c r="AE36" s="184">
        <f t="shared" si="17"/>
        <v>20000</v>
      </c>
      <c r="AF36" s="185">
        <f t="shared" si="11"/>
        <v>96259.767426429127</v>
      </c>
      <c r="AG36" s="186">
        <f t="shared" si="12"/>
        <v>-200659.82382800832</v>
      </c>
      <c r="AH36" s="186">
        <f t="shared" si="13"/>
        <v>3476.9782024484648</v>
      </c>
      <c r="AI36" s="187">
        <f t="shared" si="14"/>
        <v>-104410.49467502732</v>
      </c>
      <c r="AJ36" s="188" t="str">
        <f t="shared" si="2"/>
        <v>No</v>
      </c>
      <c r="AK36" s="189" t="str">
        <f t="shared" si="3"/>
        <v>Yes</v>
      </c>
      <c r="AL36" s="190" t="str">
        <f t="shared" si="4"/>
        <v>Yes</v>
      </c>
      <c r="AM36" s="23"/>
      <c r="AN36" s="12"/>
      <c r="AQ36" s="11"/>
      <c r="AR36" s="240" t="s">
        <v>60</v>
      </c>
      <c r="AS36" s="241"/>
      <c r="AT36" s="241"/>
      <c r="AU36" s="242" t="s">
        <v>61</v>
      </c>
      <c r="AV36" s="242" t="s">
        <v>96</v>
      </c>
      <c r="AW36" s="243"/>
      <c r="AX36" s="243"/>
      <c r="AY36" s="244"/>
      <c r="AZ36" s="85"/>
      <c r="BA36" s="85"/>
      <c r="BB36" s="12"/>
      <c r="BC36" s="12"/>
      <c r="BD36" s="12"/>
      <c r="BE36" s="12"/>
      <c r="BF36" s="12"/>
      <c r="BG36" s="12"/>
      <c r="BH36" s="12"/>
      <c r="BI36" s="12"/>
      <c r="BJ36" s="12"/>
      <c r="BK36" s="12"/>
      <c r="BL36" s="12"/>
      <c r="BM36" s="12"/>
      <c r="BN36" s="12"/>
      <c r="BO36" s="12"/>
      <c r="BP36" s="12"/>
      <c r="BQ36" s="65"/>
      <c r="BS36" s="135">
        <v>3.2</v>
      </c>
      <c r="BT36" s="136">
        <v>13.561262068279088</v>
      </c>
    </row>
    <row r="37" spans="1:72">
      <c r="A37" s="39"/>
      <c r="B37" s="11"/>
      <c r="C37" s="12"/>
      <c r="D37" s="12"/>
      <c r="E37" s="12"/>
      <c r="F37" s="12"/>
      <c r="G37" s="12"/>
      <c r="H37" s="12"/>
      <c r="I37" s="12"/>
      <c r="J37" s="12"/>
      <c r="K37" s="12"/>
      <c r="L37" s="12"/>
      <c r="M37" s="12"/>
      <c r="N37" s="12"/>
      <c r="O37" s="12"/>
      <c r="P37" s="12"/>
      <c r="Q37" s="12"/>
      <c r="R37" s="23"/>
      <c r="S37" s="23"/>
      <c r="T37" s="12"/>
      <c r="U37" s="65"/>
      <c r="W37" s="153">
        <f t="shared" si="7"/>
        <v>37500</v>
      </c>
      <c r="X37" s="154">
        <v>9</v>
      </c>
      <c r="Y37" s="155">
        <v>46.9</v>
      </c>
      <c r="Z37" s="156">
        <f t="shared" ref="Z37:Z47" si="26">VLOOKUP(Y37,$BS$4:$BT$1905,2)</f>
        <v>85449.786005772869</v>
      </c>
      <c r="AA37" s="157">
        <f t="shared" si="18"/>
        <v>-3360.2139942271315</v>
      </c>
      <c r="AC37" s="182">
        <f t="shared" si="15"/>
        <v>43313</v>
      </c>
      <c r="AD37" s="183">
        <f t="shared" si="16"/>
        <v>100000</v>
      </c>
      <c r="AE37" s="184">
        <f t="shared" si="17"/>
        <v>20000</v>
      </c>
      <c r="AF37" s="185">
        <f t="shared" si="11"/>
        <v>88098.488902159865</v>
      </c>
      <c r="AG37" s="186">
        <f t="shared" si="12"/>
        <v>-216186.99611824419</v>
      </c>
      <c r="AH37" s="186">
        <f t="shared" si="13"/>
        <v>-7921.6741315815943</v>
      </c>
      <c r="AI37" s="187">
        <f t="shared" si="14"/>
        <v>-118518.3995222454</v>
      </c>
      <c r="AJ37" s="188" t="str">
        <f t="shared" si="2"/>
        <v>No</v>
      </c>
      <c r="AK37" s="189" t="str">
        <f t="shared" si="3"/>
        <v>Yes</v>
      </c>
      <c r="AL37" s="190" t="str">
        <f t="shared" si="4"/>
        <v>Yes</v>
      </c>
      <c r="AM37" s="23"/>
      <c r="AN37" s="12"/>
      <c r="AQ37" s="11"/>
      <c r="AR37" s="245"/>
      <c r="AS37" s="246"/>
      <c r="AT37" s="246"/>
      <c r="AU37" s="247"/>
      <c r="AV37" s="247"/>
      <c r="AW37" s="248"/>
      <c r="AX37" s="248"/>
      <c r="AY37" s="249"/>
      <c r="AZ37" s="85"/>
      <c r="BA37" s="85"/>
      <c r="BB37" s="12"/>
      <c r="BC37" s="12"/>
      <c r="BD37" s="12"/>
      <c r="BE37" s="12"/>
      <c r="BF37" s="12"/>
      <c r="BG37" s="12"/>
      <c r="BH37" s="12"/>
      <c r="BI37" s="12"/>
      <c r="BJ37" s="12"/>
      <c r="BK37" s="12"/>
      <c r="BL37" s="12"/>
      <c r="BM37" s="12"/>
      <c r="BN37" s="12"/>
      <c r="BO37" s="12"/>
      <c r="BP37" s="12"/>
      <c r="BQ37" s="65"/>
      <c r="BS37" s="135">
        <v>3.3</v>
      </c>
      <c r="BT37" s="136">
        <v>15.626555190604162</v>
      </c>
    </row>
    <row r="38" spans="1:72" ht="16.5">
      <c r="A38" s="39"/>
      <c r="B38" s="11"/>
      <c r="C38" s="12"/>
      <c r="D38" s="12"/>
      <c r="E38" s="12"/>
      <c r="F38" s="12"/>
      <c r="G38" s="12"/>
      <c r="H38" s="12"/>
      <c r="I38" s="12"/>
      <c r="J38" s="12"/>
      <c r="K38" s="12"/>
      <c r="L38" s="12"/>
      <c r="M38" s="12"/>
      <c r="N38" s="12"/>
      <c r="O38" s="12"/>
      <c r="P38" s="12"/>
      <c r="Q38" s="12"/>
      <c r="R38" s="23"/>
      <c r="S38" s="23"/>
      <c r="T38" s="12"/>
      <c r="U38" s="65"/>
      <c r="W38" s="153">
        <f t="shared" si="7"/>
        <v>37530</v>
      </c>
      <c r="X38" s="154">
        <v>10</v>
      </c>
      <c r="Y38" s="155">
        <v>47.1</v>
      </c>
      <c r="Z38" s="156">
        <f t="shared" si="26"/>
        <v>86373.569224644161</v>
      </c>
      <c r="AA38" s="157">
        <f t="shared" si="18"/>
        <v>923.78321887129277</v>
      </c>
      <c r="AC38" s="182">
        <f t="shared" si="15"/>
        <v>43344</v>
      </c>
      <c r="AD38" s="183">
        <f t="shared" si="16"/>
        <v>100000</v>
      </c>
      <c r="AE38" s="184">
        <f t="shared" si="17"/>
        <v>20000</v>
      </c>
      <c r="AF38" s="185">
        <f t="shared" si="11"/>
        <v>84081.672804485599</v>
      </c>
      <c r="AG38" s="186">
        <f t="shared" si="12"/>
        <v>-241837.66298397526</v>
      </c>
      <c r="AH38" s="186">
        <f t="shared" si="13"/>
        <v>-15106.032646561183</v>
      </c>
      <c r="AI38" s="187">
        <f t="shared" si="14"/>
        <v>-126811.42729172882</v>
      </c>
      <c r="AJ38" s="188" t="str">
        <f t="shared" si="2"/>
        <v>No</v>
      </c>
      <c r="AK38" s="189" t="str">
        <f t="shared" si="3"/>
        <v>Yes</v>
      </c>
      <c r="AL38" s="190" t="str">
        <f t="shared" si="4"/>
        <v>Yes</v>
      </c>
      <c r="AM38" s="23"/>
      <c r="AN38" s="12"/>
      <c r="AQ38" s="11"/>
      <c r="AR38" s="245"/>
      <c r="AS38" s="246"/>
      <c r="AT38" s="246"/>
      <c r="AU38" s="250"/>
      <c r="AV38" s="248"/>
      <c r="AW38" s="248"/>
      <c r="AX38" s="248"/>
      <c r="AY38" s="249"/>
      <c r="AZ38" s="85"/>
      <c r="BA38" s="85"/>
      <c r="BB38" s="12"/>
      <c r="BC38" s="12"/>
      <c r="BD38" s="12"/>
      <c r="BE38" s="12"/>
      <c r="BF38" s="12"/>
      <c r="BG38" s="12"/>
      <c r="BH38" s="12"/>
      <c r="BI38" s="12"/>
      <c r="BJ38" s="12"/>
      <c r="BK38" s="12"/>
      <c r="BL38" s="12"/>
      <c r="BM38" s="12"/>
      <c r="BN38" s="12"/>
      <c r="BO38" s="12"/>
      <c r="BP38" s="12"/>
      <c r="BQ38" s="65"/>
      <c r="BS38" s="135">
        <v>3.4</v>
      </c>
      <c r="BT38" s="136">
        <v>17.841146610928636</v>
      </c>
    </row>
    <row r="39" spans="1:72">
      <c r="A39" s="39"/>
      <c r="B39" s="11"/>
      <c r="C39" s="12"/>
      <c r="D39" s="12"/>
      <c r="E39" s="12"/>
      <c r="F39" s="12"/>
      <c r="G39" s="12"/>
      <c r="H39" s="12"/>
      <c r="I39" s="12"/>
      <c r="J39" s="12"/>
      <c r="K39" s="12"/>
      <c r="L39" s="12"/>
      <c r="M39" s="12"/>
      <c r="N39" s="12"/>
      <c r="O39" s="12"/>
      <c r="P39" s="12"/>
      <c r="Q39" s="12"/>
      <c r="R39" s="23"/>
      <c r="S39" s="23"/>
      <c r="T39" s="12"/>
      <c r="U39" s="65"/>
      <c r="W39" s="153">
        <f t="shared" si="7"/>
        <v>37561</v>
      </c>
      <c r="X39" s="154">
        <v>11</v>
      </c>
      <c r="Y39" s="155">
        <v>47.1</v>
      </c>
      <c r="Z39" s="156">
        <f t="shared" si="26"/>
        <v>86373.569224644161</v>
      </c>
      <c r="AA39" s="157">
        <f t="shared" si="18"/>
        <v>0</v>
      </c>
      <c r="AC39" s="182">
        <f t="shared" si="15"/>
        <v>43374</v>
      </c>
      <c r="AD39" s="183">
        <f t="shared" si="16"/>
        <v>100000</v>
      </c>
      <c r="AE39" s="184">
        <f t="shared" si="17"/>
        <v>20000</v>
      </c>
      <c r="AF39" s="185">
        <f t="shared" si="11"/>
        <v>83184.503831989656</v>
      </c>
      <c r="AG39" s="186">
        <f t="shared" si="12"/>
        <v>-254643.6747287747</v>
      </c>
      <c r="AH39" s="186">
        <f t="shared" si="13"/>
        <v>-19269.493381108809</v>
      </c>
      <c r="AI39" s="187">
        <f t="shared" si="14"/>
        <v>-136735.17567433059</v>
      </c>
      <c r="AJ39" s="188" t="str">
        <f t="shared" si="2"/>
        <v>No</v>
      </c>
      <c r="AK39" s="189" t="str">
        <f t="shared" si="3"/>
        <v>Yes</v>
      </c>
      <c r="AL39" s="190" t="str">
        <f t="shared" si="4"/>
        <v>Yes</v>
      </c>
      <c r="AM39" s="23"/>
      <c r="AN39" s="12"/>
      <c r="AQ39" s="11"/>
      <c r="AR39" s="245"/>
      <c r="AS39" s="246"/>
      <c r="AT39" s="246"/>
      <c r="AU39" s="247"/>
      <c r="AV39" s="248"/>
      <c r="AW39" s="248"/>
      <c r="AX39" s="248"/>
      <c r="AY39" s="249"/>
      <c r="AZ39" s="85"/>
      <c r="BA39" s="85"/>
      <c r="BB39" s="12"/>
      <c r="BC39" s="12"/>
      <c r="BD39" s="12"/>
      <c r="BE39" s="12"/>
      <c r="BF39" s="12"/>
      <c r="BG39" s="12"/>
      <c r="BH39" s="12"/>
      <c r="BI39" s="12"/>
      <c r="BJ39" s="12"/>
      <c r="BK39" s="12"/>
      <c r="BL39" s="12"/>
      <c r="BM39" s="12"/>
      <c r="BN39" s="12"/>
      <c r="BO39" s="12"/>
      <c r="BP39" s="12"/>
      <c r="BQ39" s="65"/>
      <c r="BS39" s="135">
        <v>3.5</v>
      </c>
      <c r="BT39" s="136">
        <v>20.229919378919082</v>
      </c>
    </row>
    <row r="40" spans="1:72">
      <c r="A40" s="39"/>
      <c r="B40" s="11"/>
      <c r="C40" s="12"/>
      <c r="D40" s="12"/>
      <c r="E40" s="12"/>
      <c r="F40" s="12"/>
      <c r="G40" s="12"/>
      <c r="H40" s="12"/>
      <c r="I40" s="12"/>
      <c r="J40" s="12"/>
      <c r="K40" s="12"/>
      <c r="L40" s="12"/>
      <c r="M40" s="12"/>
      <c r="N40" s="12"/>
      <c r="O40" s="12"/>
      <c r="P40" s="12"/>
      <c r="Q40" s="12"/>
      <c r="R40" s="23"/>
      <c r="S40" s="23"/>
      <c r="T40" s="12"/>
      <c r="U40" s="65"/>
      <c r="W40" s="153">
        <f t="shared" si="7"/>
        <v>37591</v>
      </c>
      <c r="X40" s="154">
        <v>12</v>
      </c>
      <c r="Y40" s="155">
        <v>49.8</v>
      </c>
      <c r="Z40" s="156">
        <f t="shared" si="26"/>
        <v>99044.640191101818</v>
      </c>
      <c r="AA40" s="157">
        <f>Z40-Z39</f>
        <v>12671.070966457657</v>
      </c>
      <c r="AC40" s="182">
        <f t="shared" si="15"/>
        <v>43405</v>
      </c>
      <c r="AD40" s="183">
        <f t="shared" si="16"/>
        <v>100000</v>
      </c>
      <c r="AE40" s="184">
        <f t="shared" si="17"/>
        <v>20000</v>
      </c>
      <c r="AF40" s="185">
        <f t="shared" si="11"/>
        <v>84085.017086360778</v>
      </c>
      <c r="AG40" s="186">
        <f t="shared" si="12"/>
        <v>-260763.61102816754</v>
      </c>
      <c r="AH40" s="186">
        <f t="shared" si="13"/>
        <v>-21867.950632029482</v>
      </c>
      <c r="AI40" s="187">
        <f t="shared" si="14"/>
        <v>-141905.16671643272</v>
      </c>
      <c r="AJ40" s="188" t="str">
        <f t="shared" si="2"/>
        <v>No</v>
      </c>
      <c r="AK40" s="189" t="str">
        <f t="shared" si="3"/>
        <v>Yes</v>
      </c>
      <c r="AL40" s="190" t="str">
        <f t="shared" si="4"/>
        <v>Yes</v>
      </c>
      <c r="AM40" s="23"/>
      <c r="AN40" s="12"/>
      <c r="AQ40" s="11"/>
      <c r="AR40" s="245"/>
      <c r="AS40" s="246"/>
      <c r="AT40" s="246"/>
      <c r="AU40" s="247"/>
      <c r="AV40" s="248"/>
      <c r="AW40" s="246"/>
      <c r="AX40" s="246"/>
      <c r="AY40" s="249"/>
      <c r="AZ40" s="85"/>
      <c r="BA40" s="85"/>
      <c r="BB40" s="12"/>
      <c r="BC40" s="12"/>
      <c r="BD40" s="12"/>
      <c r="BE40" s="12"/>
      <c r="BF40" s="12"/>
      <c r="BG40" s="12"/>
      <c r="BH40" s="12"/>
      <c r="BI40" s="12"/>
      <c r="BJ40" s="12"/>
      <c r="BK40" s="12"/>
      <c r="BL40" s="12"/>
      <c r="BM40" s="12"/>
      <c r="BN40" s="12"/>
      <c r="BO40" s="12"/>
      <c r="BP40" s="12"/>
      <c r="BQ40" s="65"/>
      <c r="BS40" s="135">
        <v>3.6</v>
      </c>
      <c r="BT40" s="136">
        <v>22.767990444908929</v>
      </c>
    </row>
    <row r="41" spans="1:72">
      <c r="A41" s="39"/>
      <c r="B41" s="11"/>
      <c r="C41" s="12"/>
      <c r="D41" s="12"/>
      <c r="E41" s="12"/>
      <c r="F41" s="12"/>
      <c r="G41" s="12"/>
      <c r="H41" s="12"/>
      <c r="I41" s="12"/>
      <c r="J41" s="12"/>
      <c r="K41" s="12"/>
      <c r="L41" s="12"/>
      <c r="M41" s="12"/>
      <c r="N41" s="12"/>
      <c r="O41" s="12"/>
      <c r="P41" s="12"/>
      <c r="Q41" s="12"/>
      <c r="R41" s="23"/>
      <c r="S41" s="23"/>
      <c r="T41" s="12"/>
      <c r="U41" s="65"/>
      <c r="W41" s="153">
        <f t="shared" si="7"/>
        <v>37622</v>
      </c>
      <c r="X41" s="154">
        <v>1</v>
      </c>
      <c r="Y41" s="155">
        <v>48.7</v>
      </c>
      <c r="Z41" s="156">
        <f t="shared" si="26"/>
        <v>93834.701901064996</v>
      </c>
      <c r="AA41" s="157">
        <f>Z41-Z40</f>
        <v>-5209.9382900368219</v>
      </c>
      <c r="AC41" s="182">
        <f t="shared" si="15"/>
        <v>43435</v>
      </c>
      <c r="AD41" s="183">
        <f t="shared" si="16"/>
        <v>100000</v>
      </c>
      <c r="AE41" s="184">
        <f t="shared" si="17"/>
        <v>20000</v>
      </c>
      <c r="AF41" s="185">
        <f t="shared" si="11"/>
        <v>84972.81112106434</v>
      </c>
      <c r="AG41" s="186">
        <f t="shared" si="12"/>
        <v>-268464.01911018207</v>
      </c>
      <c r="AH41" s="186">
        <f t="shared" si="13"/>
        <v>-25398.959888523976</v>
      </c>
      <c r="AI41" s="187">
        <f t="shared" si="14"/>
        <v>-148189.7790385189</v>
      </c>
      <c r="AJ41" s="188" t="str">
        <f t="shared" si="2"/>
        <v>No</v>
      </c>
      <c r="AK41" s="189" t="str">
        <f t="shared" si="3"/>
        <v>Yes</v>
      </c>
      <c r="AL41" s="190" t="str">
        <f t="shared" si="4"/>
        <v>Yes</v>
      </c>
      <c r="AM41" s="23"/>
      <c r="AN41" s="12"/>
      <c r="AQ41" s="11"/>
      <c r="AR41" s="245"/>
      <c r="AS41" s="246"/>
      <c r="AT41" s="246"/>
      <c r="AU41" s="247"/>
      <c r="AV41" s="248"/>
      <c r="AW41" s="246"/>
      <c r="AX41" s="246"/>
      <c r="AY41" s="249"/>
      <c r="AZ41" s="85"/>
      <c r="BA41" s="85"/>
      <c r="BB41" s="12"/>
      <c r="BC41" s="12"/>
      <c r="BD41" s="12"/>
      <c r="BE41" s="12"/>
      <c r="BF41" s="12"/>
      <c r="BG41" s="12"/>
      <c r="BH41" s="12"/>
      <c r="BI41" s="12"/>
      <c r="BJ41" s="12"/>
      <c r="BK41" s="12"/>
      <c r="BL41" s="12"/>
      <c r="BM41" s="12"/>
      <c r="BN41" s="12"/>
      <c r="BO41" s="12"/>
      <c r="BP41" s="12"/>
      <c r="BQ41" s="65"/>
      <c r="BS41" s="135">
        <v>3.7</v>
      </c>
      <c r="BT41" s="136">
        <v>25.505125908231314</v>
      </c>
    </row>
    <row r="42" spans="1:72" ht="17.25" thickBot="1">
      <c r="A42" s="39"/>
      <c r="B42" s="11"/>
      <c r="C42" s="12"/>
      <c r="D42" s="12"/>
      <c r="E42" s="12"/>
      <c r="F42" s="12"/>
      <c r="G42" s="12"/>
      <c r="H42" s="12"/>
      <c r="I42" s="12"/>
      <c r="J42" s="12"/>
      <c r="K42" s="12"/>
      <c r="L42" s="12"/>
      <c r="M42" s="12"/>
      <c r="N42" s="12"/>
      <c r="O42" s="12"/>
      <c r="P42" s="12"/>
      <c r="Q42" s="12"/>
      <c r="R42" s="23"/>
      <c r="S42" s="23"/>
      <c r="T42" s="12"/>
      <c r="U42" s="65"/>
      <c r="W42" s="153">
        <f t="shared" si="7"/>
        <v>37653</v>
      </c>
      <c r="X42" s="154">
        <v>2</v>
      </c>
      <c r="Y42" s="155">
        <v>49.1</v>
      </c>
      <c r="Z42" s="156">
        <f t="shared" si="26"/>
        <v>95720.662884443125</v>
      </c>
      <c r="AA42" s="157">
        <f>Z42-Z41</f>
        <v>1885.9609833781287</v>
      </c>
      <c r="AC42" s="182">
        <f t="shared" si="15"/>
        <v>43466</v>
      </c>
      <c r="AD42" s="183">
        <f t="shared" si="16"/>
        <v>100000</v>
      </c>
      <c r="AE42" s="184">
        <f t="shared" si="17"/>
        <v>20000</v>
      </c>
      <c r="AF42" s="185">
        <f t="shared" si="11"/>
        <v>88057.838160644984</v>
      </c>
      <c r="AG42" s="186">
        <f t="shared" si="12"/>
        <v>-277751.96576092357</v>
      </c>
      <c r="AH42" s="186">
        <f t="shared" si="13"/>
        <v>-26362.949139046526</v>
      </c>
      <c r="AI42" s="187">
        <f t="shared" si="14"/>
        <v>-152922.4504827311</v>
      </c>
      <c r="AJ42" s="188" t="str">
        <f t="shared" si="2"/>
        <v>No</v>
      </c>
      <c r="AK42" s="189" t="str">
        <f t="shared" si="3"/>
        <v>Yes</v>
      </c>
      <c r="AL42" s="190" t="str">
        <f t="shared" si="4"/>
        <v>Yes</v>
      </c>
      <c r="AM42" s="23"/>
      <c r="AN42" s="12"/>
      <c r="AQ42" s="11"/>
      <c r="AR42" s="138"/>
      <c r="AS42" s="251"/>
      <c r="AT42" s="251"/>
      <c r="AU42" s="252"/>
      <c r="AV42" s="253"/>
      <c r="AW42" s="253"/>
      <c r="AX42" s="253"/>
      <c r="AY42" s="254"/>
      <c r="AZ42" s="85"/>
      <c r="BA42" s="85"/>
      <c r="BB42" s="12"/>
      <c r="BC42" s="12"/>
      <c r="BD42" s="12"/>
      <c r="BE42" s="12"/>
      <c r="BF42" s="12"/>
      <c r="BG42" s="12"/>
      <c r="BH42" s="12"/>
      <c r="BI42" s="12"/>
      <c r="BJ42" s="12"/>
      <c r="BK42" s="12"/>
      <c r="BL42" s="12"/>
      <c r="BM42" s="12"/>
      <c r="BN42" s="12"/>
      <c r="BO42" s="12"/>
      <c r="BP42" s="12"/>
      <c r="BQ42" s="65"/>
      <c r="BS42" s="135">
        <v>3.8</v>
      </c>
      <c r="BT42" s="136">
        <v>28.416442719219667</v>
      </c>
    </row>
    <row r="43" spans="1:72" ht="17.25" thickBot="1">
      <c r="A43" s="39"/>
      <c r="B43" s="11"/>
      <c r="C43" s="12"/>
      <c r="D43" s="12"/>
      <c r="E43" s="12"/>
      <c r="F43" s="12"/>
      <c r="G43" s="12"/>
      <c r="H43" s="12"/>
      <c r="I43" s="12"/>
      <c r="J43" s="12"/>
      <c r="K43" s="12"/>
      <c r="L43" s="12"/>
      <c r="M43" s="12"/>
      <c r="N43" s="12"/>
      <c r="O43" s="12"/>
      <c r="P43" s="12"/>
      <c r="Q43" s="12"/>
      <c r="R43" s="23"/>
      <c r="S43" s="23"/>
      <c r="T43" s="12"/>
      <c r="U43" s="65"/>
      <c r="W43" s="153">
        <f t="shared" si="7"/>
        <v>37681</v>
      </c>
      <c r="X43" s="154">
        <v>3</v>
      </c>
      <c r="Y43" s="155">
        <v>49.4</v>
      </c>
      <c r="Z43" s="156">
        <f t="shared" si="26"/>
        <v>97141.634318702098</v>
      </c>
      <c r="AA43" s="157">
        <f>Z43-Z42</f>
        <v>1420.9714342589723</v>
      </c>
      <c r="AC43" s="182">
        <f t="shared" si="15"/>
        <v>43497</v>
      </c>
      <c r="AD43" s="183">
        <f t="shared" si="16"/>
        <v>100000</v>
      </c>
      <c r="AE43" s="184">
        <f t="shared" si="17"/>
        <v>20000</v>
      </c>
      <c r="AF43" s="185">
        <f t="shared" si="11"/>
        <v>92017.661988653344</v>
      </c>
      <c r="AG43" s="186">
        <f t="shared" si="12"/>
        <v>-286411.8144719816</v>
      </c>
      <c r="AH43" s="186">
        <f t="shared" si="13"/>
        <v>-26362.949139046526</v>
      </c>
      <c r="AI43" s="187">
        <f t="shared" si="14"/>
        <v>-157756.01274012137</v>
      </c>
      <c r="AJ43" s="188" t="str">
        <f t="shared" si="2"/>
        <v>No</v>
      </c>
      <c r="AK43" s="189" t="str">
        <f t="shared" si="3"/>
        <v>Yes</v>
      </c>
      <c r="AL43" s="190" t="str">
        <f t="shared" si="4"/>
        <v>Yes</v>
      </c>
      <c r="AM43" s="23"/>
      <c r="AN43" s="12"/>
      <c r="AQ43" s="72"/>
      <c r="AR43" s="131"/>
      <c r="AS43" s="131"/>
      <c r="AT43" s="131"/>
      <c r="AU43" s="132"/>
      <c r="AV43" s="73"/>
      <c r="AW43" s="73"/>
      <c r="AX43" s="73"/>
      <c r="AY43" s="73"/>
      <c r="AZ43" s="73"/>
      <c r="BA43" s="73"/>
      <c r="BB43" s="73"/>
      <c r="BC43" s="73"/>
      <c r="BD43" s="73"/>
      <c r="BE43" s="73"/>
      <c r="BF43" s="73"/>
      <c r="BG43" s="73"/>
      <c r="BH43" s="73"/>
      <c r="BI43" s="73"/>
      <c r="BJ43" s="73"/>
      <c r="BK43" s="73"/>
      <c r="BL43" s="73"/>
      <c r="BM43" s="73"/>
      <c r="BN43" s="73"/>
      <c r="BO43" s="73"/>
      <c r="BP43" s="73"/>
      <c r="BQ43" s="75"/>
      <c r="BS43" s="135">
        <v>3.9</v>
      </c>
      <c r="BT43" s="136">
        <v>31.501940877873992</v>
      </c>
    </row>
    <row r="44" spans="1:72" ht="16.5">
      <c r="A44" s="39"/>
      <c r="B44" s="11"/>
      <c r="C44" s="12"/>
      <c r="D44" s="12"/>
      <c r="E44" s="12"/>
      <c r="F44" s="12"/>
      <c r="G44" s="12"/>
      <c r="H44" s="12"/>
      <c r="I44" s="12"/>
      <c r="J44" s="12"/>
      <c r="K44" s="12"/>
      <c r="L44" s="12"/>
      <c r="M44" s="12"/>
      <c r="N44" s="12"/>
      <c r="O44" s="12"/>
      <c r="P44" s="12"/>
      <c r="Q44" s="12"/>
      <c r="R44" s="23"/>
      <c r="S44" s="23"/>
      <c r="T44" s="12"/>
      <c r="U44" s="65"/>
      <c r="W44" s="153">
        <f t="shared" si="7"/>
        <v>37712</v>
      </c>
      <c r="X44" s="158">
        <v>4</v>
      </c>
      <c r="Y44" s="155">
        <v>50</v>
      </c>
      <c r="Z44" s="156">
        <f t="shared" si="26"/>
        <v>100000</v>
      </c>
      <c r="AA44" s="157">
        <f>Z44-Z43</f>
        <v>2858.3656812979025</v>
      </c>
      <c r="AC44" s="182">
        <f t="shared" si="15"/>
        <v>43525</v>
      </c>
      <c r="AD44" s="183">
        <f t="shared" si="16"/>
        <v>100000</v>
      </c>
      <c r="AE44" s="184">
        <f t="shared" si="17"/>
        <v>20000</v>
      </c>
      <c r="AF44" s="185">
        <f t="shared" si="11"/>
        <v>96608.646693872142</v>
      </c>
      <c r="AG44" s="186">
        <f t="shared" si="12"/>
        <v>-293967.07972529106</v>
      </c>
      <c r="AH44" s="186">
        <f t="shared" si="13"/>
        <v>-26362.949139046526</v>
      </c>
      <c r="AI44" s="187">
        <f t="shared" si="14"/>
        <v>-161136.05155767885</v>
      </c>
      <c r="AJ44" s="188" t="str">
        <f t="shared" si="2"/>
        <v>No</v>
      </c>
      <c r="AK44" s="189" t="str">
        <f t="shared" si="3"/>
        <v>Yes</v>
      </c>
      <c r="AL44" s="190" t="str">
        <f t="shared" si="4"/>
        <v>Yes</v>
      </c>
      <c r="AM44" s="23"/>
      <c r="AN44" s="12"/>
      <c r="AR44" s="4"/>
      <c r="AS44" s="4"/>
      <c r="AT44" s="4"/>
      <c r="AU44" s="5"/>
      <c r="BS44" s="135">
        <v>4</v>
      </c>
      <c r="BT44" s="136">
        <v>34.786503433860858</v>
      </c>
    </row>
    <row r="45" spans="1:72" ht="16.5">
      <c r="A45" s="39"/>
      <c r="B45" s="11"/>
      <c r="C45" s="12"/>
      <c r="D45" s="12"/>
      <c r="E45" s="12"/>
      <c r="F45" s="12"/>
      <c r="G45" s="12"/>
      <c r="H45" s="12"/>
      <c r="I45" s="12"/>
      <c r="J45" s="12"/>
      <c r="K45" s="12"/>
      <c r="L45" s="12"/>
      <c r="M45" s="12"/>
      <c r="N45" s="12"/>
      <c r="O45" s="12"/>
      <c r="P45" s="12"/>
      <c r="Q45" s="12"/>
      <c r="R45" s="23"/>
      <c r="S45" s="23"/>
      <c r="T45" s="12"/>
      <c r="U45" s="65"/>
      <c r="W45" s="153">
        <f t="shared" si="7"/>
        <v>37742</v>
      </c>
      <c r="X45" s="154">
        <v>5</v>
      </c>
      <c r="Y45" s="155">
        <v>48.4</v>
      </c>
      <c r="Z45" s="156">
        <f t="shared" si="26"/>
        <v>92425.997810291636</v>
      </c>
      <c r="AA45" s="157">
        <f t="shared" ref="AA45:AA108" si="27">Z45-Z44</f>
        <v>-7574.0021897083643</v>
      </c>
      <c r="AC45" s="182">
        <f t="shared" si="15"/>
        <v>43556</v>
      </c>
      <c r="AD45" s="183">
        <f t="shared" si="16"/>
        <v>100000</v>
      </c>
      <c r="AE45" s="184">
        <f t="shared" si="17"/>
        <v>20000</v>
      </c>
      <c r="AF45" s="185">
        <f t="shared" si="11"/>
        <v>99287.359078995403</v>
      </c>
      <c r="AG45" s="186">
        <f t="shared" si="12"/>
        <v>-299190.38021299883</v>
      </c>
      <c r="AH45" s="186">
        <f t="shared" si="13"/>
        <v>-26362.949139046526</v>
      </c>
      <c r="AI45" s="187">
        <f t="shared" si="14"/>
        <v>-164574.10271722896</v>
      </c>
      <c r="AJ45" s="188" t="str">
        <f t="shared" si="2"/>
        <v>No</v>
      </c>
      <c r="AK45" s="189" t="str">
        <f t="shared" si="3"/>
        <v>Yes</v>
      </c>
      <c r="AL45" s="190" t="str">
        <f t="shared" si="4"/>
        <v>Yes</v>
      </c>
      <c r="AM45" s="23"/>
      <c r="AN45" s="12"/>
      <c r="AR45" s="4"/>
      <c r="AS45" s="4"/>
      <c r="AT45" s="4"/>
      <c r="AU45" s="5"/>
      <c r="BS45" s="135">
        <v>4.0999999999999996</v>
      </c>
      <c r="BT45" s="136">
        <v>38.245247337513689</v>
      </c>
    </row>
    <row r="46" spans="1:72" ht="16.5">
      <c r="A46" s="39"/>
      <c r="B46" s="11"/>
      <c r="C46" s="12"/>
      <c r="D46" s="12"/>
      <c r="E46" s="12"/>
      <c r="F46" s="12"/>
      <c r="G46" s="12"/>
      <c r="H46" s="12"/>
      <c r="I46" s="12"/>
      <c r="J46" s="12"/>
      <c r="K46" s="12"/>
      <c r="L46" s="12"/>
      <c r="M46" s="12"/>
      <c r="N46" s="12"/>
      <c r="O46" s="12"/>
      <c r="P46" s="12"/>
      <c r="Q46" s="12"/>
      <c r="R46" s="23"/>
      <c r="S46" s="23"/>
      <c r="T46" s="12"/>
      <c r="U46" s="65"/>
      <c r="W46" s="153">
        <f t="shared" si="7"/>
        <v>37773</v>
      </c>
      <c r="X46" s="154">
        <v>6</v>
      </c>
      <c r="Y46" s="155">
        <v>50.8</v>
      </c>
      <c r="Z46" s="156">
        <f t="shared" si="26"/>
        <v>100000</v>
      </c>
      <c r="AA46" s="157">
        <f t="shared" si="27"/>
        <v>7574.0021897083643</v>
      </c>
      <c r="AC46" s="182">
        <f t="shared" si="15"/>
        <v>43586</v>
      </c>
      <c r="AD46" s="183">
        <f t="shared" si="16"/>
        <v>100000</v>
      </c>
      <c r="AE46" s="184">
        <f t="shared" si="17"/>
        <v>20000</v>
      </c>
      <c r="AF46" s="185">
        <f t="shared" si="11"/>
        <v>100351.07328887563</v>
      </c>
      <c r="AG46" s="186">
        <f t="shared" si="12"/>
        <v>-306764.38240270718</v>
      </c>
      <c r="AH46" s="186">
        <f t="shared" si="13"/>
        <v>-29410.804220165268</v>
      </c>
      <c r="AI46" s="187">
        <f t="shared" si="14"/>
        <v>-171474.9885537971</v>
      </c>
      <c r="AJ46" s="188" t="str">
        <f t="shared" si="2"/>
        <v>No</v>
      </c>
      <c r="AK46" s="189" t="str">
        <f t="shared" si="3"/>
        <v>Yes</v>
      </c>
      <c r="AL46" s="190" t="str">
        <f t="shared" si="4"/>
        <v>Yes</v>
      </c>
      <c r="AM46" s="23"/>
      <c r="AN46" s="12"/>
      <c r="AR46" s="4"/>
      <c r="AS46" s="4"/>
      <c r="AT46" s="4"/>
      <c r="AU46" s="5"/>
      <c r="BS46" s="135">
        <v>4.2</v>
      </c>
      <c r="BT46" s="136">
        <v>41.878172588832484</v>
      </c>
    </row>
    <row r="47" spans="1:72" ht="16.5">
      <c r="A47" s="39"/>
      <c r="B47" s="11"/>
      <c r="C47" s="12"/>
      <c r="D47" s="12"/>
      <c r="E47" s="12"/>
      <c r="F47" s="12"/>
      <c r="G47" s="12"/>
      <c r="H47" s="12"/>
      <c r="I47" s="12"/>
      <c r="J47" s="12"/>
      <c r="K47" s="12"/>
      <c r="L47" s="12"/>
      <c r="M47" s="12"/>
      <c r="N47" s="12"/>
      <c r="O47" s="12"/>
      <c r="P47" s="12"/>
      <c r="Q47" s="12"/>
      <c r="R47" s="23"/>
      <c r="S47" s="23"/>
      <c r="T47" s="12"/>
      <c r="U47" s="65"/>
      <c r="W47" s="153">
        <f t="shared" si="7"/>
        <v>37803</v>
      </c>
      <c r="X47" s="154">
        <v>7</v>
      </c>
      <c r="Y47" s="155">
        <v>49.4</v>
      </c>
      <c r="Z47" s="156">
        <f t="shared" si="26"/>
        <v>97141.634318702098</v>
      </c>
      <c r="AA47" s="157">
        <f t="shared" si="27"/>
        <v>-2858.3656812979025</v>
      </c>
      <c r="AC47" s="182">
        <f t="shared" si="15"/>
        <v>43617</v>
      </c>
      <c r="AD47" s="183">
        <f t="shared" si="16"/>
        <v>100000</v>
      </c>
      <c r="AE47" s="184">
        <f t="shared" si="17"/>
        <v>20000</v>
      </c>
      <c r="AF47" s="185">
        <f t="shared" si="11"/>
        <v>99624.620948210097</v>
      </c>
      <c r="AG47" s="186">
        <f t="shared" si="12"/>
        <v>-313343.2119040509</v>
      </c>
      <c r="AH47" s="186">
        <f t="shared" si="13"/>
        <v>-32114.422215586786</v>
      </c>
      <c r="AI47" s="187">
        <f t="shared" si="14"/>
        <v>-177603.58415447391</v>
      </c>
      <c r="AJ47" s="188" t="str">
        <f t="shared" si="2"/>
        <v>No</v>
      </c>
      <c r="AK47" s="189" t="str">
        <f t="shared" si="3"/>
        <v>Yes</v>
      </c>
      <c r="AL47" s="190" t="str">
        <f t="shared" si="4"/>
        <v>Yes</v>
      </c>
      <c r="AM47" s="23"/>
      <c r="AN47" s="12"/>
      <c r="AR47" s="4"/>
      <c r="AS47" s="4"/>
      <c r="AT47" s="4"/>
      <c r="AU47" s="5"/>
      <c r="BS47" s="135">
        <v>4.3</v>
      </c>
      <c r="BT47" s="136">
        <v>45.685279187817258</v>
      </c>
    </row>
    <row r="48" spans="1:72" ht="16.5">
      <c r="A48" s="39"/>
      <c r="B48" s="11"/>
      <c r="C48" s="12"/>
      <c r="D48" s="12"/>
      <c r="E48" s="12"/>
      <c r="F48" s="12"/>
      <c r="G48" s="12"/>
      <c r="H48" s="12"/>
      <c r="I48" s="12"/>
      <c r="J48" s="12"/>
      <c r="K48" s="12"/>
      <c r="L48" s="12"/>
      <c r="M48" s="12"/>
      <c r="N48" s="12"/>
      <c r="O48" s="12"/>
      <c r="P48" s="12"/>
      <c r="Q48" s="12"/>
      <c r="R48" s="23"/>
      <c r="S48" s="23"/>
      <c r="T48" s="12"/>
      <c r="U48" s="65"/>
      <c r="W48" s="153">
        <f t="shared" si="7"/>
        <v>37834</v>
      </c>
      <c r="X48" s="154">
        <v>8</v>
      </c>
      <c r="Y48" s="155">
        <v>45</v>
      </c>
      <c r="Z48" s="156">
        <v>84100</v>
      </c>
      <c r="AA48" s="157">
        <f t="shared" si="27"/>
        <v>-13041.634318702098</v>
      </c>
      <c r="AC48" s="182">
        <f t="shared" si="15"/>
        <v>43647</v>
      </c>
      <c r="AD48" s="183">
        <f t="shared" si="16"/>
        <v>100000</v>
      </c>
      <c r="AE48" s="184">
        <f t="shared" si="17"/>
        <v>20000</v>
      </c>
      <c r="AF48" s="185">
        <f t="shared" si="11"/>
        <v>94551.776649746214</v>
      </c>
      <c r="AG48" s="186">
        <f t="shared" si="12"/>
        <v>-328510.97342490288</v>
      </c>
      <c r="AH48" s="186">
        <f t="shared" si="13"/>
        <v>-37691.216283467744</v>
      </c>
      <c r="AI48" s="187">
        <f t="shared" si="14"/>
        <v>-189376.37702796847</v>
      </c>
      <c r="AJ48" s="188" t="str">
        <f t="shared" si="2"/>
        <v>No</v>
      </c>
      <c r="AK48" s="189" t="str">
        <f t="shared" si="3"/>
        <v>Yes</v>
      </c>
      <c r="AL48" s="190" t="str">
        <f t="shared" si="4"/>
        <v>Yes</v>
      </c>
      <c r="AM48" s="23"/>
      <c r="AN48" s="12"/>
      <c r="AR48" s="4"/>
      <c r="AS48" s="4"/>
      <c r="AT48" s="4"/>
      <c r="AU48" s="5"/>
      <c r="BS48" s="135">
        <v>4.4000000000000004</v>
      </c>
      <c r="BT48" s="136">
        <v>49.69145018413456</v>
      </c>
    </row>
    <row r="49" spans="1:72" ht="16.5">
      <c r="A49" s="39"/>
      <c r="B49" s="11"/>
      <c r="C49" s="12"/>
      <c r="D49" s="12"/>
      <c r="E49" s="12"/>
      <c r="F49" s="12"/>
      <c r="G49" s="12"/>
      <c r="H49" s="12"/>
      <c r="I49" s="12"/>
      <c r="J49" s="12"/>
      <c r="K49" s="12"/>
      <c r="L49" s="12"/>
      <c r="M49" s="12"/>
      <c r="N49" s="12"/>
      <c r="O49" s="12"/>
      <c r="P49" s="12"/>
      <c r="Q49" s="12"/>
      <c r="R49" s="23"/>
      <c r="S49" s="23"/>
      <c r="T49" s="12"/>
      <c r="U49" s="65"/>
      <c r="W49" s="153">
        <f>DATE(YEAR(W48),MONTH(W48)+1,DAY(W48))</f>
        <v>37865</v>
      </c>
      <c r="X49" s="154">
        <v>9</v>
      </c>
      <c r="Y49" s="155">
        <v>44.9</v>
      </c>
      <c r="Z49" s="156">
        <f t="shared" ref="Z49:Z54" si="28">VLOOKUP(Y49,$BS$4:$BT$1905,2)</f>
        <v>76306.584054941777</v>
      </c>
      <c r="AA49" s="157">
        <f t="shared" si="27"/>
        <v>-7793.4159450582229</v>
      </c>
      <c r="AC49" s="182">
        <f t="shared" si="15"/>
        <v>43678</v>
      </c>
      <c r="AD49" s="183">
        <f t="shared" si="16"/>
        <v>100000</v>
      </c>
      <c r="AE49" s="184">
        <f t="shared" si="17"/>
        <v>20000</v>
      </c>
      <c r="AF49" s="185">
        <f t="shared" si="11"/>
        <v>86390.498125476952</v>
      </c>
      <c r="AG49" s="186">
        <f t="shared" si="12"/>
        <v>-344038.14571513876</v>
      </c>
      <c r="AH49" s="186">
        <f t="shared" si="13"/>
        <v>-49089.868617497807</v>
      </c>
      <c r="AI49" s="187">
        <f t="shared" si="14"/>
        <v>-203484.28187518654</v>
      </c>
      <c r="AJ49" s="188" t="str">
        <f t="shared" si="2"/>
        <v>No</v>
      </c>
      <c r="AK49" s="189" t="str">
        <f t="shared" si="3"/>
        <v>Yes</v>
      </c>
      <c r="AL49" s="190" t="str">
        <f t="shared" si="4"/>
        <v>Yes</v>
      </c>
      <c r="AM49" s="23"/>
      <c r="AN49" s="12"/>
      <c r="AR49" s="4"/>
      <c r="AS49" s="4"/>
      <c r="AT49" s="4"/>
      <c r="AU49" s="5"/>
      <c r="BS49" s="135">
        <v>4.5</v>
      </c>
      <c r="BT49" s="136">
        <v>53.89668557778441</v>
      </c>
    </row>
    <row r="50" spans="1:72" ht="16.5">
      <c r="A50" s="39"/>
      <c r="B50" s="11"/>
      <c r="C50" s="12"/>
      <c r="D50" s="12"/>
      <c r="E50" s="12"/>
      <c r="F50" s="12"/>
      <c r="G50" s="12"/>
      <c r="H50" s="12"/>
      <c r="I50" s="12"/>
      <c r="J50" s="12"/>
      <c r="K50" s="12"/>
      <c r="L50" s="12"/>
      <c r="M50" s="12"/>
      <c r="N50" s="12"/>
      <c r="O50" s="12"/>
      <c r="P50" s="12"/>
      <c r="Q50" s="12"/>
      <c r="R50" s="23"/>
      <c r="S50" s="23"/>
      <c r="T50" s="12"/>
      <c r="U50" s="65"/>
      <c r="W50" s="153">
        <f>DATE(YEAR(W49),MONTH(W49)+1,DAY(W49))</f>
        <v>37895</v>
      </c>
      <c r="X50" s="154">
        <v>10</v>
      </c>
      <c r="Y50" s="155">
        <v>45.5</v>
      </c>
      <c r="Z50" s="156">
        <f t="shared" si="28"/>
        <v>79030.979396834882</v>
      </c>
      <c r="AA50" s="157">
        <f t="shared" si="27"/>
        <v>2724.3953418931051</v>
      </c>
      <c r="AC50" s="182">
        <f t="shared" si="15"/>
        <v>43709</v>
      </c>
      <c r="AD50" s="183">
        <f t="shared" si="16"/>
        <v>100000</v>
      </c>
      <c r="AE50" s="184">
        <f t="shared" si="17"/>
        <v>20000</v>
      </c>
      <c r="AF50" s="185">
        <f t="shared" si="11"/>
        <v>82373.682027802686</v>
      </c>
      <c r="AG50" s="186">
        <f t="shared" si="12"/>
        <v>-369688.81258086982</v>
      </c>
      <c r="AH50" s="186">
        <f t="shared" si="13"/>
        <v>-56274.227132477397</v>
      </c>
      <c r="AI50" s="187">
        <f t="shared" si="14"/>
        <v>-211777.30964466996</v>
      </c>
      <c r="AJ50" s="188" t="str">
        <f t="shared" si="2"/>
        <v>No</v>
      </c>
      <c r="AK50" s="189" t="str">
        <f t="shared" si="3"/>
        <v>Yes</v>
      </c>
      <c r="AL50" s="190" t="str">
        <f t="shared" si="4"/>
        <v>Yes</v>
      </c>
      <c r="AM50" s="23"/>
      <c r="AN50" s="12"/>
      <c r="AR50" s="4"/>
      <c r="AS50" s="4"/>
      <c r="AT50" s="4"/>
      <c r="AU50" s="5"/>
      <c r="BS50" s="135">
        <v>4.5999999999999996</v>
      </c>
      <c r="BT50" s="136">
        <v>58.325868418433366</v>
      </c>
    </row>
    <row r="51" spans="1:72" ht="16.5">
      <c r="A51" s="39"/>
      <c r="B51" s="11"/>
      <c r="C51" s="12"/>
      <c r="D51" s="12"/>
      <c r="E51" s="12"/>
      <c r="F51" s="12"/>
      <c r="G51" s="12"/>
      <c r="H51" s="12"/>
      <c r="I51" s="12"/>
      <c r="J51" s="12"/>
      <c r="K51" s="12"/>
      <c r="L51" s="12"/>
      <c r="M51" s="12"/>
      <c r="N51" s="12"/>
      <c r="O51" s="12"/>
      <c r="P51" s="12"/>
      <c r="Q51" s="12"/>
      <c r="R51" s="23"/>
      <c r="S51" s="23"/>
      <c r="T51" s="12"/>
      <c r="U51" s="65"/>
      <c r="W51" s="153">
        <f t="shared" si="7"/>
        <v>37926</v>
      </c>
      <c r="X51" s="154">
        <v>11</v>
      </c>
      <c r="Y51" s="155">
        <v>46.7</v>
      </c>
      <c r="Z51" s="156">
        <f t="shared" si="28"/>
        <v>84527.520652931227</v>
      </c>
      <c r="AA51" s="157">
        <f t="shared" si="27"/>
        <v>5496.541256096345</v>
      </c>
      <c r="AC51" s="182">
        <f t="shared" si="15"/>
        <v>43739</v>
      </c>
      <c r="AD51" s="183">
        <f t="shared" si="16"/>
        <v>100000</v>
      </c>
      <c r="AE51" s="184">
        <f t="shared" si="17"/>
        <v>20000</v>
      </c>
      <c r="AF51" s="185">
        <f t="shared" si="11"/>
        <v>81476.513055306743</v>
      </c>
      <c r="AG51" s="186">
        <f t="shared" si="12"/>
        <v>-382494.82432566927</v>
      </c>
      <c r="AH51" s="186">
        <f t="shared" si="13"/>
        <v>-60437.687867025023</v>
      </c>
      <c r="AI51" s="187">
        <f t="shared" si="14"/>
        <v>-221701.05802727173</v>
      </c>
      <c r="AJ51" s="188" t="str">
        <f t="shared" si="2"/>
        <v>No</v>
      </c>
      <c r="AK51" s="189" t="str">
        <f t="shared" si="3"/>
        <v>Yes</v>
      </c>
      <c r="AL51" s="190" t="str">
        <f t="shared" si="4"/>
        <v>Yes</v>
      </c>
      <c r="AM51" s="23"/>
      <c r="AN51" s="12"/>
      <c r="AR51" s="4"/>
      <c r="AS51" s="4"/>
      <c r="AT51" s="4"/>
      <c r="AU51" s="5"/>
      <c r="BS51" s="135">
        <v>4.7</v>
      </c>
      <c r="BT51" s="136">
        <v>62.954115656414857</v>
      </c>
    </row>
    <row r="52" spans="1:72" ht="17.25" thickBot="1">
      <c r="A52" s="39"/>
      <c r="B52" s="11"/>
      <c r="C52" s="12"/>
      <c r="D52" s="12"/>
      <c r="E52" s="12"/>
      <c r="F52" s="12"/>
      <c r="G52" s="12"/>
      <c r="H52" s="12"/>
      <c r="I52" s="12"/>
      <c r="J52" s="12"/>
      <c r="K52" s="12"/>
      <c r="L52" s="12"/>
      <c r="M52" s="12"/>
      <c r="N52" s="12"/>
      <c r="O52" s="12"/>
      <c r="P52" s="12"/>
      <c r="Q52" s="12"/>
      <c r="R52" s="23"/>
      <c r="S52" s="23"/>
      <c r="T52" s="12"/>
      <c r="U52" s="65"/>
      <c r="W52" s="153">
        <f t="shared" si="7"/>
        <v>37956</v>
      </c>
      <c r="X52" s="154">
        <v>12</v>
      </c>
      <c r="Y52" s="155">
        <v>46</v>
      </c>
      <c r="Z52" s="156">
        <f t="shared" si="28"/>
        <v>81313.501542749073</v>
      </c>
      <c r="AA52" s="157">
        <f t="shared" si="27"/>
        <v>-3214.0191101821547</v>
      </c>
      <c r="AC52" s="191">
        <f t="shared" si="15"/>
        <v>43770</v>
      </c>
      <c r="AD52" s="192">
        <f t="shared" si="16"/>
        <v>100000</v>
      </c>
      <c r="AE52" s="193">
        <f t="shared" si="17"/>
        <v>20000</v>
      </c>
      <c r="AF52" s="194">
        <f t="shared" si="11"/>
        <v>82377.026309677865</v>
      </c>
      <c r="AG52" s="195">
        <f t="shared" si="12"/>
        <v>-388614.7606250621</v>
      </c>
      <c r="AH52" s="195">
        <f t="shared" si="13"/>
        <v>-63036.1451179457</v>
      </c>
      <c r="AI52" s="196">
        <f t="shared" si="14"/>
        <v>-226871.04906937387</v>
      </c>
      <c r="AJ52" s="197" t="str">
        <f t="shared" si="2"/>
        <v>No</v>
      </c>
      <c r="AK52" s="198" t="str">
        <f t="shared" si="3"/>
        <v>Yes</v>
      </c>
      <c r="AL52" s="199" t="str">
        <f t="shared" si="4"/>
        <v>Yes</v>
      </c>
      <c r="AM52" s="23"/>
      <c r="AN52" s="12"/>
      <c r="AR52" s="4"/>
      <c r="AS52" s="4"/>
      <c r="AT52" s="4"/>
      <c r="AU52" s="5"/>
      <c r="BS52" s="135">
        <v>4.8</v>
      </c>
      <c r="BT52" s="136">
        <v>67.831193391062001</v>
      </c>
    </row>
    <row r="53" spans="1:72" ht="16.5">
      <c r="A53" s="39"/>
      <c r="B53" s="11"/>
      <c r="C53" s="12"/>
      <c r="D53" s="12"/>
      <c r="E53" s="12"/>
      <c r="F53" s="12"/>
      <c r="G53" s="12"/>
      <c r="H53" s="12"/>
      <c r="I53" s="12"/>
      <c r="J53" s="12"/>
      <c r="K53" s="12"/>
      <c r="L53" s="12"/>
      <c r="M53" s="12"/>
      <c r="N53" s="12"/>
      <c r="O53" s="12"/>
      <c r="P53" s="12"/>
      <c r="Q53" s="12"/>
      <c r="R53" s="23"/>
      <c r="S53" s="23"/>
      <c r="T53" s="12"/>
      <c r="U53" s="65"/>
      <c r="W53" s="153">
        <f t="shared" si="7"/>
        <v>37987</v>
      </c>
      <c r="X53" s="154">
        <v>1</v>
      </c>
      <c r="Y53" s="155">
        <v>47.7</v>
      </c>
      <c r="Z53" s="156">
        <f t="shared" si="28"/>
        <v>89156.837862048371</v>
      </c>
      <c r="AA53" s="157">
        <f t="shared" si="27"/>
        <v>7843.3363192992983</v>
      </c>
      <c r="AC53" s="12"/>
      <c r="AD53" s="12"/>
      <c r="AE53" s="12"/>
      <c r="AF53" s="12"/>
      <c r="AG53" s="12"/>
      <c r="AH53" s="12"/>
      <c r="AI53" s="12"/>
      <c r="AJ53" s="12"/>
      <c r="AK53" s="12"/>
      <c r="AL53" s="12"/>
      <c r="AM53" s="12"/>
      <c r="AN53" s="12"/>
      <c r="AR53" s="4"/>
      <c r="AS53" s="4"/>
      <c r="AT53" s="4"/>
      <c r="AU53" s="5"/>
      <c r="BS53" s="135">
        <v>4.9000000000000004</v>
      </c>
      <c r="BT53" s="136">
        <v>72.981984672041392</v>
      </c>
    </row>
    <row r="54" spans="1:72" ht="16.5">
      <c r="A54" s="39"/>
      <c r="B54" s="11"/>
      <c r="C54" s="12"/>
      <c r="D54" s="12"/>
      <c r="E54" s="12"/>
      <c r="F54" s="12"/>
      <c r="G54" s="12"/>
      <c r="H54" s="12"/>
      <c r="I54" s="12"/>
      <c r="J54" s="12"/>
      <c r="K54" s="12"/>
      <c r="L54" s="12"/>
      <c r="M54" s="12"/>
      <c r="N54" s="12"/>
      <c r="O54" s="12"/>
      <c r="P54" s="12"/>
      <c r="Q54" s="12"/>
      <c r="R54" s="23"/>
      <c r="S54" s="23"/>
      <c r="T54" s="12"/>
      <c r="U54" s="65"/>
      <c r="W54" s="153">
        <f t="shared" si="7"/>
        <v>38018</v>
      </c>
      <c r="X54" s="154">
        <v>2</v>
      </c>
      <c r="Y54" s="155">
        <v>48.4</v>
      </c>
      <c r="Z54" s="156">
        <f t="shared" si="28"/>
        <v>92425.997810291636</v>
      </c>
      <c r="AA54" s="157">
        <f t="shared" si="27"/>
        <v>3269.1599482432648</v>
      </c>
      <c r="AC54" s="12"/>
      <c r="AD54" s="12"/>
      <c r="AE54" s="12"/>
      <c r="AF54" s="12"/>
      <c r="AG54" s="12"/>
      <c r="AH54" s="12"/>
      <c r="AI54" s="12"/>
      <c r="AJ54" s="12"/>
      <c r="AK54" s="12"/>
      <c r="AL54" s="12"/>
      <c r="AM54" s="12"/>
      <c r="AN54" s="12"/>
      <c r="AR54" s="4"/>
      <c r="AS54" s="4"/>
      <c r="AT54" s="4"/>
      <c r="AU54" s="5"/>
      <c r="BS54" s="135">
        <v>5</v>
      </c>
      <c r="BT54" s="136">
        <v>78.431372549019599</v>
      </c>
    </row>
    <row r="55" spans="1:72" ht="16.5">
      <c r="A55" s="39"/>
      <c r="B55" s="11"/>
      <c r="C55" s="12"/>
      <c r="D55" s="12"/>
      <c r="E55" s="12"/>
      <c r="F55" s="12"/>
      <c r="G55" s="12"/>
      <c r="H55" s="12"/>
      <c r="I55" s="12"/>
      <c r="J55" s="12"/>
      <c r="K55" s="12"/>
      <c r="L55" s="12"/>
      <c r="M55" s="12"/>
      <c r="N55" s="12"/>
      <c r="O55" s="12"/>
      <c r="P55" s="12"/>
      <c r="Q55" s="12"/>
      <c r="R55" s="23"/>
      <c r="S55" s="23"/>
      <c r="T55" s="12"/>
      <c r="U55" s="65"/>
      <c r="W55" s="153">
        <f t="shared" si="7"/>
        <v>38047</v>
      </c>
      <c r="X55" s="154">
        <v>3</v>
      </c>
      <c r="Y55" s="155">
        <v>50.5</v>
      </c>
      <c r="Z55" s="156">
        <v>97100</v>
      </c>
      <c r="AA55" s="157">
        <f t="shared" si="27"/>
        <v>4674.0021897083643</v>
      </c>
      <c r="AR55" s="4"/>
      <c r="AS55" s="4"/>
      <c r="AT55" s="4"/>
      <c r="AU55" s="5"/>
      <c r="BS55" s="135">
        <v>5.0999999999999996</v>
      </c>
      <c r="BT55" s="136">
        <v>84.154473972330052</v>
      </c>
    </row>
    <row r="56" spans="1:72" ht="17.25" thickBot="1">
      <c r="A56" s="39"/>
      <c r="B56" s="11"/>
      <c r="C56" s="12"/>
      <c r="D56" s="12"/>
      <c r="E56" s="12"/>
      <c r="F56" s="12"/>
      <c r="G56" s="12"/>
      <c r="H56" s="12"/>
      <c r="I56" s="12"/>
      <c r="J56" s="12"/>
      <c r="K56" s="12"/>
      <c r="L56" s="12"/>
      <c r="M56" s="12"/>
      <c r="N56" s="12"/>
      <c r="O56" s="12"/>
      <c r="P56" s="12"/>
      <c r="Q56" s="107"/>
      <c r="R56" s="107"/>
      <c r="S56" s="107"/>
      <c r="T56" s="107"/>
      <c r="U56" s="65"/>
      <c r="W56" s="153">
        <f t="shared" si="7"/>
        <v>38078</v>
      </c>
      <c r="X56" s="154">
        <v>4</v>
      </c>
      <c r="Y56" s="155">
        <v>49.3</v>
      </c>
      <c r="Z56" s="156">
        <f t="shared" ref="Z56:Z73" si="29">VLOOKUP(Y56,$BS$4:$BT$1905,2)</f>
        <v>96667.263859858664</v>
      </c>
      <c r="AA56" s="157">
        <f t="shared" si="27"/>
        <v>-432.73614014133636</v>
      </c>
      <c r="AR56" s="4"/>
      <c r="AS56" s="4"/>
      <c r="AT56" s="4"/>
      <c r="AU56" s="5"/>
      <c r="BS56" s="135">
        <v>5.2</v>
      </c>
      <c r="BT56" s="136">
        <v>90.201055041305864</v>
      </c>
    </row>
    <row r="57" spans="1:72" ht="16.5">
      <c r="A57" s="39"/>
      <c r="B57" s="11"/>
      <c r="C57" s="12" t="s">
        <v>39</v>
      </c>
      <c r="D57" s="357"/>
      <c r="E57" s="358"/>
      <c r="F57" s="358"/>
      <c r="G57" s="358"/>
      <c r="H57" s="358"/>
      <c r="I57" s="358"/>
      <c r="J57" s="358"/>
      <c r="K57" s="358"/>
      <c r="L57" s="358"/>
      <c r="M57" s="358"/>
      <c r="N57" s="358"/>
      <c r="O57" s="358"/>
      <c r="P57" s="358"/>
      <c r="Q57" s="358"/>
      <c r="R57" s="358"/>
      <c r="S57" s="358"/>
      <c r="T57" s="359"/>
      <c r="U57" s="65"/>
      <c r="W57" s="153">
        <f t="shared" si="7"/>
        <v>38108</v>
      </c>
      <c r="X57" s="154">
        <v>5</v>
      </c>
      <c r="Y57" s="155">
        <v>50.1</v>
      </c>
      <c r="Z57" s="156">
        <f t="shared" si="29"/>
        <v>100000</v>
      </c>
      <c r="AA57" s="157">
        <f t="shared" si="27"/>
        <v>3332.7361401413364</v>
      </c>
      <c r="AF57" s="77"/>
      <c r="AR57" s="4"/>
      <c r="AS57" s="4"/>
      <c r="AT57" s="4"/>
      <c r="AU57" s="5"/>
      <c r="BS57" s="135">
        <v>5.3</v>
      </c>
      <c r="BT57" s="136">
        <v>96.546232706280477</v>
      </c>
    </row>
    <row r="58" spans="1:72" ht="17.25" thickBot="1">
      <c r="A58" s="39"/>
      <c r="B58" s="11"/>
      <c r="C58" s="12"/>
      <c r="D58" s="360"/>
      <c r="E58" s="361"/>
      <c r="F58" s="361"/>
      <c r="G58" s="361"/>
      <c r="H58" s="361"/>
      <c r="I58" s="361"/>
      <c r="J58" s="361"/>
      <c r="K58" s="361"/>
      <c r="L58" s="361"/>
      <c r="M58" s="361"/>
      <c r="N58" s="361"/>
      <c r="O58" s="361"/>
      <c r="P58" s="361"/>
      <c r="Q58" s="361"/>
      <c r="R58" s="361"/>
      <c r="S58" s="361"/>
      <c r="T58" s="362"/>
      <c r="U58" s="65"/>
      <c r="W58" s="153">
        <f t="shared" si="7"/>
        <v>38139</v>
      </c>
      <c r="X58" s="154">
        <v>6</v>
      </c>
      <c r="Y58" s="155">
        <v>50</v>
      </c>
      <c r="Z58" s="156">
        <f t="shared" si="29"/>
        <v>100000</v>
      </c>
      <c r="AA58" s="157">
        <f t="shared" si="27"/>
        <v>0</v>
      </c>
      <c r="AR58" s="4"/>
      <c r="AS58" s="4"/>
      <c r="AT58" s="4"/>
      <c r="AU58" s="5"/>
      <c r="BS58" s="135">
        <v>5.4</v>
      </c>
      <c r="BT58" s="136">
        <v>103.16512391758735</v>
      </c>
    </row>
    <row r="59" spans="1:72" ht="17.25" thickBot="1">
      <c r="A59" s="39"/>
      <c r="B59" s="72"/>
      <c r="C59" s="73"/>
      <c r="D59" s="73"/>
      <c r="E59" s="73"/>
      <c r="F59" s="73"/>
      <c r="G59" s="73"/>
      <c r="H59" s="73"/>
      <c r="I59" s="73"/>
      <c r="J59" s="73"/>
      <c r="K59" s="73"/>
      <c r="L59" s="73"/>
      <c r="M59" s="73"/>
      <c r="N59" s="73"/>
      <c r="O59" s="73"/>
      <c r="P59" s="73"/>
      <c r="Q59" s="73"/>
      <c r="R59" s="103"/>
      <c r="S59" s="103"/>
      <c r="T59" s="73"/>
      <c r="U59" s="75"/>
      <c r="W59" s="153">
        <f t="shared" si="7"/>
        <v>38169</v>
      </c>
      <c r="X59" s="154">
        <v>7</v>
      </c>
      <c r="Y59" s="155">
        <v>48.7</v>
      </c>
      <c r="Z59" s="156">
        <f t="shared" si="29"/>
        <v>93834.701901064996</v>
      </c>
      <c r="AA59" s="157">
        <f t="shared" si="27"/>
        <v>-6165.2980989350035</v>
      </c>
      <c r="AR59" s="4"/>
      <c r="AS59" s="4"/>
      <c r="AT59" s="4"/>
      <c r="AU59" s="5"/>
      <c r="BS59" s="135">
        <v>5.5</v>
      </c>
      <c r="BT59" s="136">
        <v>110.05772867522643</v>
      </c>
    </row>
    <row r="60" spans="1:72" ht="16.5">
      <c r="A60" s="12"/>
      <c r="B60" s="8"/>
      <c r="W60" s="153">
        <f t="shared" si="7"/>
        <v>38200</v>
      </c>
      <c r="X60" s="154">
        <v>8</v>
      </c>
      <c r="Y60" s="155">
        <v>49.8</v>
      </c>
      <c r="Z60" s="156">
        <f t="shared" si="29"/>
        <v>99044.640191101818</v>
      </c>
      <c r="AA60" s="157">
        <f t="shared" si="27"/>
        <v>5209.9382900368219</v>
      </c>
      <c r="AR60" s="4"/>
      <c r="AS60" s="4"/>
      <c r="AT60" s="4"/>
      <c r="AU60" s="5"/>
      <c r="BS60" s="135">
        <v>5.6</v>
      </c>
      <c r="BT60" s="136">
        <v>117.27381307853091</v>
      </c>
    </row>
    <row r="61" spans="1:72" ht="16.5">
      <c r="A61" s="12"/>
      <c r="W61" s="153">
        <f t="shared" si="7"/>
        <v>38231</v>
      </c>
      <c r="X61" s="154">
        <v>9</v>
      </c>
      <c r="Y61" s="155">
        <v>49.2</v>
      </c>
      <c r="Z61" s="156">
        <f t="shared" si="29"/>
        <v>96193.814073852904</v>
      </c>
      <c r="AA61" s="157">
        <f t="shared" si="27"/>
        <v>-2850.8261172489147</v>
      </c>
      <c r="AR61" s="4"/>
      <c r="AS61" s="4"/>
      <c r="AT61" s="4"/>
      <c r="AU61" s="5"/>
      <c r="BS61" s="135">
        <v>5.7</v>
      </c>
      <c r="BT61" s="136">
        <v>124.78849407783419</v>
      </c>
    </row>
    <row r="62" spans="1:72" ht="16.5">
      <c r="A62" s="12"/>
      <c r="W62" s="153">
        <f t="shared" si="7"/>
        <v>38261</v>
      </c>
      <c r="X62" s="154">
        <v>10</v>
      </c>
      <c r="Y62" s="155">
        <v>47.7</v>
      </c>
      <c r="Z62" s="156">
        <f t="shared" si="29"/>
        <v>89156.837862048371</v>
      </c>
      <c r="AA62" s="157">
        <f t="shared" si="27"/>
        <v>-7036.9762118045328</v>
      </c>
      <c r="AR62" s="4"/>
      <c r="AS62" s="4"/>
      <c r="AT62" s="4"/>
      <c r="AU62" s="5"/>
      <c r="BS62" s="135">
        <v>5.8</v>
      </c>
      <c r="BT62" s="136">
        <v>132.60177167313626</v>
      </c>
    </row>
    <row r="63" spans="1:72" ht="16.5">
      <c r="A63" s="12"/>
      <c r="W63" s="153">
        <f t="shared" si="7"/>
        <v>38292</v>
      </c>
      <c r="X63" s="154">
        <v>11</v>
      </c>
      <c r="Y63" s="155">
        <v>49.8</v>
      </c>
      <c r="Z63" s="156">
        <f t="shared" si="29"/>
        <v>99044.640191101818</v>
      </c>
      <c r="AA63" s="157">
        <f t="shared" si="27"/>
        <v>9887.8023290534475</v>
      </c>
      <c r="AR63" s="4"/>
      <c r="AS63" s="4"/>
      <c r="AT63" s="4"/>
      <c r="AU63" s="5"/>
      <c r="BS63" s="135">
        <v>5.9</v>
      </c>
      <c r="BT63" s="136">
        <v>140.73852891410371</v>
      </c>
    </row>
    <row r="64" spans="1:72" ht="16.5">
      <c r="A64" s="12"/>
      <c r="W64" s="153">
        <f t="shared" si="7"/>
        <v>38322</v>
      </c>
      <c r="X64" s="154">
        <v>12</v>
      </c>
      <c r="Y64" s="155">
        <v>50.1</v>
      </c>
      <c r="Z64" s="156">
        <f t="shared" si="29"/>
        <v>100000</v>
      </c>
      <c r="AA64" s="157">
        <f t="shared" si="27"/>
        <v>955.35980889818165</v>
      </c>
      <c r="AR64" s="4"/>
      <c r="AS64" s="4"/>
      <c r="AT64" s="4"/>
      <c r="AU64" s="5"/>
      <c r="BS64" s="135">
        <v>6</v>
      </c>
      <c r="BT64" s="136">
        <v>149.19876580073654</v>
      </c>
    </row>
    <row r="65" spans="1:72" ht="16.5">
      <c r="A65" s="12"/>
      <c r="W65" s="153">
        <f t="shared" si="7"/>
        <v>38353</v>
      </c>
      <c r="X65" s="154">
        <v>1</v>
      </c>
      <c r="Y65" s="155">
        <v>49.7</v>
      </c>
      <c r="Z65" s="156">
        <f t="shared" si="29"/>
        <v>98567.955608639386</v>
      </c>
      <c r="AA65" s="157">
        <f t="shared" si="27"/>
        <v>-1432.0443913606141</v>
      </c>
      <c r="AR65" s="4"/>
      <c r="AS65" s="4"/>
      <c r="AT65" s="4"/>
      <c r="AU65" s="5"/>
      <c r="BS65" s="135">
        <v>6.1</v>
      </c>
      <c r="BT65" s="136">
        <v>158.03224843236788</v>
      </c>
    </row>
    <row r="66" spans="1:72" ht="16.5">
      <c r="A66" s="12"/>
      <c r="W66" s="153">
        <f t="shared" si="7"/>
        <v>38384</v>
      </c>
      <c r="X66" s="154">
        <v>2</v>
      </c>
      <c r="Y66" s="155">
        <v>49.4</v>
      </c>
      <c r="Z66" s="156">
        <f t="shared" si="29"/>
        <v>97141.634318702098</v>
      </c>
      <c r="AA66" s="157">
        <f t="shared" si="27"/>
        <v>-1426.3212899372884</v>
      </c>
      <c r="AR66" s="4"/>
      <c r="AS66" s="4"/>
      <c r="AT66" s="4"/>
      <c r="AU66" s="5"/>
      <c r="BS66" s="135">
        <v>6.2</v>
      </c>
      <c r="BT66" s="136">
        <v>167.33850900766399</v>
      </c>
    </row>
    <row r="67" spans="1:72" ht="16.5">
      <c r="A67" s="12"/>
      <c r="W67" s="153">
        <f t="shared" si="7"/>
        <v>38412</v>
      </c>
      <c r="X67" s="154">
        <v>3</v>
      </c>
      <c r="Y67" s="155">
        <v>50.4</v>
      </c>
      <c r="Z67" s="156">
        <f t="shared" si="29"/>
        <v>100000</v>
      </c>
      <c r="AA67" s="157">
        <f t="shared" si="27"/>
        <v>2858.3656812979025</v>
      </c>
      <c r="AR67" s="4"/>
      <c r="AS67" s="4"/>
      <c r="AT67" s="4"/>
      <c r="AU67" s="5"/>
      <c r="BS67" s="135">
        <v>6.3</v>
      </c>
      <c r="BT67" s="136">
        <v>177.0926644769583</v>
      </c>
    </row>
    <row r="68" spans="1:72" ht="16.5">
      <c r="A68" s="12"/>
      <c r="W68" s="153">
        <f t="shared" si="7"/>
        <v>38443</v>
      </c>
      <c r="X68" s="154">
        <v>4</v>
      </c>
      <c r="Y68" s="155">
        <v>48.9</v>
      </c>
      <c r="Z68" s="156">
        <f t="shared" si="29"/>
        <v>94776.699512292224</v>
      </c>
      <c r="AA68" s="157">
        <f t="shared" si="27"/>
        <v>-5223.3004877077765</v>
      </c>
      <c r="AR68" s="4"/>
      <c r="AS68" s="4"/>
      <c r="AT68" s="4"/>
      <c r="AU68" s="5"/>
      <c r="BS68" s="135">
        <v>6.4</v>
      </c>
      <c r="BT68" s="136">
        <v>187.26983179058425</v>
      </c>
    </row>
    <row r="69" spans="1:72" ht="16.5">
      <c r="A69" s="12"/>
      <c r="W69" s="153">
        <f t="shared" si="7"/>
        <v>38473</v>
      </c>
      <c r="X69" s="154">
        <v>5</v>
      </c>
      <c r="Y69" s="155">
        <v>48.9</v>
      </c>
      <c r="Z69" s="156">
        <f t="shared" si="29"/>
        <v>94776.699512292224</v>
      </c>
      <c r="AA69" s="157">
        <f t="shared" si="27"/>
        <v>0</v>
      </c>
      <c r="AR69" s="4"/>
      <c r="AS69" s="4"/>
      <c r="AT69" s="4"/>
      <c r="AU69" s="5"/>
      <c r="BS69" s="135">
        <v>6.5</v>
      </c>
      <c r="BT69" s="136">
        <v>197.87001094854185</v>
      </c>
    </row>
    <row r="70" spans="1:72" ht="16.5">
      <c r="A70" s="12"/>
      <c r="W70" s="153">
        <f t="shared" ref="W70:W133" si="30">DATE(YEAR(W69),MONTH(W69)+1,DAY(W69))</f>
        <v>38504</v>
      </c>
      <c r="X70" s="154">
        <v>6</v>
      </c>
      <c r="Y70" s="155">
        <v>48.5</v>
      </c>
      <c r="Z70" s="156">
        <f t="shared" si="29"/>
        <v>92894.943764307754</v>
      </c>
      <c r="AA70" s="157">
        <f t="shared" si="27"/>
        <v>-1881.7557479844691</v>
      </c>
      <c r="AR70" s="4"/>
      <c r="AS70" s="4"/>
      <c r="AT70" s="4"/>
      <c r="AU70" s="5"/>
      <c r="BS70" s="135">
        <v>6.6</v>
      </c>
      <c r="BT70" s="136">
        <v>208.89320195083113</v>
      </c>
    </row>
    <row r="71" spans="1:72" ht="16.5">
      <c r="A71" s="12"/>
      <c r="W71" s="153">
        <f t="shared" si="30"/>
        <v>38534</v>
      </c>
      <c r="X71" s="154">
        <v>7</v>
      </c>
      <c r="Y71" s="155">
        <v>47.6</v>
      </c>
      <c r="Z71" s="156">
        <f t="shared" si="29"/>
        <v>88691.649248531903</v>
      </c>
      <c r="AA71" s="157">
        <f t="shared" si="27"/>
        <v>-4203.2945157758513</v>
      </c>
      <c r="AR71" s="4"/>
      <c r="AS71" s="4"/>
      <c r="AT71" s="4"/>
      <c r="AU71" s="5"/>
      <c r="BS71" s="135">
        <v>6.7</v>
      </c>
      <c r="BT71" s="136">
        <v>220.33940479745198</v>
      </c>
    </row>
    <row r="72" spans="1:72" ht="16.5">
      <c r="A72" s="12"/>
      <c r="W72" s="153">
        <f t="shared" si="30"/>
        <v>38565</v>
      </c>
      <c r="X72" s="154">
        <v>8</v>
      </c>
      <c r="Y72" s="155">
        <v>45.5</v>
      </c>
      <c r="Z72" s="156">
        <f t="shared" si="29"/>
        <v>79030.979396834882</v>
      </c>
      <c r="AA72" s="157">
        <f t="shared" si="27"/>
        <v>-9660.6698516970209</v>
      </c>
      <c r="AR72" s="4"/>
      <c r="AS72" s="4"/>
      <c r="AT72" s="4"/>
      <c r="AU72" s="5"/>
      <c r="BS72" s="135">
        <v>6.8</v>
      </c>
      <c r="BT72" s="136">
        <v>232.15885338907137</v>
      </c>
    </row>
    <row r="73" spans="1:72" ht="16.5">
      <c r="A73" s="12"/>
      <c r="W73" s="153">
        <f t="shared" si="30"/>
        <v>38596</v>
      </c>
      <c r="X73" s="154">
        <v>9</v>
      </c>
      <c r="Y73" s="155">
        <v>43.8</v>
      </c>
      <c r="Z73" s="156">
        <f t="shared" si="29"/>
        <v>71356.847815268236</v>
      </c>
      <c r="AA73" s="157">
        <f t="shared" si="27"/>
        <v>-7674.1315815666458</v>
      </c>
      <c r="AR73" s="4"/>
      <c r="AS73" s="4"/>
      <c r="AT73" s="4"/>
      <c r="AU73" s="5"/>
      <c r="BS73" s="135">
        <v>6.9</v>
      </c>
      <c r="BT73" s="136">
        <v>244.42619687468897</v>
      </c>
    </row>
    <row r="74" spans="1:72" ht="16.5">
      <c r="A74" s="12"/>
      <c r="W74" s="153">
        <f t="shared" si="30"/>
        <v>38626</v>
      </c>
      <c r="X74" s="154">
        <v>10</v>
      </c>
      <c r="Y74" s="155">
        <v>41</v>
      </c>
      <c r="Z74" s="156">
        <v>66100</v>
      </c>
      <c r="AA74" s="157">
        <f t="shared" si="27"/>
        <v>-5256.8478152682364</v>
      </c>
      <c r="AR74" s="4"/>
      <c r="AS74" s="4"/>
      <c r="AT74" s="4"/>
      <c r="AU74" s="5"/>
      <c r="BS74" s="135">
        <v>7</v>
      </c>
      <c r="BT74" s="136">
        <v>257.09166915497161</v>
      </c>
    </row>
    <row r="75" spans="1:72" ht="16.5">
      <c r="A75" s="12"/>
      <c r="W75" s="153">
        <f t="shared" si="30"/>
        <v>38657</v>
      </c>
      <c r="X75" s="154">
        <v>11</v>
      </c>
      <c r="Y75" s="155">
        <v>41.2</v>
      </c>
      <c r="Z75" s="156">
        <f>VLOOKUP(Y75,$BS$4:$BT$1905,2)</f>
        <v>60112.123021797546</v>
      </c>
      <c r="AA75" s="157">
        <f t="shared" si="27"/>
        <v>-5987.8769782024538</v>
      </c>
      <c r="AR75" s="4"/>
      <c r="AS75" s="4"/>
      <c r="AT75" s="4"/>
      <c r="AU75" s="5"/>
      <c r="BS75" s="135">
        <v>7.1</v>
      </c>
      <c r="BT75" s="136">
        <v>270.20503632925249</v>
      </c>
    </row>
    <row r="76" spans="1:72" ht="16.5">
      <c r="A76" s="12"/>
      <c r="W76" s="153">
        <f t="shared" si="30"/>
        <v>38687</v>
      </c>
      <c r="X76" s="154">
        <v>12</v>
      </c>
      <c r="Y76" s="155">
        <v>39.5</v>
      </c>
      <c r="Z76" s="156">
        <f>VLOOKUP(Y76,$BS$4:$BT$1905,2)</f>
        <v>53449.586941375535</v>
      </c>
      <c r="AA76" s="157">
        <f t="shared" si="27"/>
        <v>-6662.5360804220109</v>
      </c>
      <c r="AR76" s="4"/>
      <c r="AS76" s="4"/>
      <c r="AT76" s="4"/>
      <c r="AU76" s="5"/>
      <c r="BS76" s="135">
        <v>7.2</v>
      </c>
      <c r="BT76" s="136">
        <v>283.71653229819844</v>
      </c>
    </row>
    <row r="77" spans="1:72" ht="16.5">
      <c r="A77" s="12"/>
      <c r="W77" s="153">
        <f t="shared" si="30"/>
        <v>38718</v>
      </c>
      <c r="X77" s="154">
        <v>1</v>
      </c>
      <c r="Y77" s="155">
        <v>40.799999999999997</v>
      </c>
      <c r="Z77" s="156">
        <f>VLOOKUP(Y77,$BS$4:$BT$1905,2)</f>
        <v>58487.458942968049</v>
      </c>
      <c r="AA77" s="157">
        <f t="shared" si="27"/>
        <v>5037.8720015925137</v>
      </c>
      <c r="AR77" s="4"/>
      <c r="AS77" s="4"/>
      <c r="AT77" s="4"/>
      <c r="AU77" s="5"/>
      <c r="BS77" s="135">
        <v>7.3</v>
      </c>
      <c r="BT77" s="136">
        <v>297.70080621080916</v>
      </c>
    </row>
    <row r="78" spans="1:72" ht="16.5">
      <c r="A78" s="12"/>
      <c r="W78" s="153">
        <f t="shared" si="30"/>
        <v>38749</v>
      </c>
      <c r="X78" s="154">
        <v>2</v>
      </c>
      <c r="Y78" s="155">
        <v>43.9</v>
      </c>
      <c r="Z78" s="156">
        <f>VLOOKUP(Y78,$BS$4:$BT$1905,2)</f>
        <v>71804.120633024781</v>
      </c>
      <c r="AA78" s="157">
        <f t="shared" si="27"/>
        <v>13316.661690056731</v>
      </c>
      <c r="AR78" s="4"/>
      <c r="AS78" s="4"/>
      <c r="AT78" s="4"/>
      <c r="AU78" s="5"/>
      <c r="BS78" s="135">
        <v>7.4</v>
      </c>
      <c r="BT78" s="136">
        <v>312.13297501741812</v>
      </c>
    </row>
    <row r="79" spans="1:72" ht="16.5">
      <c r="A79" s="12"/>
      <c r="W79" s="153">
        <f t="shared" si="30"/>
        <v>38777</v>
      </c>
      <c r="X79" s="154">
        <v>3</v>
      </c>
      <c r="Y79" s="155">
        <v>48.1</v>
      </c>
      <c r="Z79" s="156">
        <v>87100</v>
      </c>
      <c r="AA79" s="157">
        <f t="shared" si="27"/>
        <v>15295.879366975219</v>
      </c>
      <c r="AR79" s="4"/>
      <c r="AS79" s="4"/>
      <c r="AT79" s="4"/>
      <c r="AU79" s="5"/>
      <c r="BS79" s="135">
        <v>7.5</v>
      </c>
      <c r="BT79" s="136">
        <v>327.06280481735843</v>
      </c>
    </row>
    <row r="80" spans="1:72" ht="16.5">
      <c r="A80" s="12"/>
      <c r="W80" s="153">
        <f t="shared" si="30"/>
        <v>38808</v>
      </c>
      <c r="X80" s="154">
        <v>4</v>
      </c>
      <c r="Y80" s="155">
        <v>49.5</v>
      </c>
      <c r="Z80" s="156">
        <f>VLOOKUP(Y80,$BS$4:$BT$1905,2)</f>
        <v>97616.328257191213</v>
      </c>
      <c r="AA80" s="157">
        <f t="shared" si="27"/>
        <v>10516.328257191213</v>
      </c>
      <c r="AR80" s="4"/>
      <c r="AS80" s="4"/>
      <c r="AT80" s="4"/>
      <c r="AU80" s="5"/>
      <c r="BS80" s="135">
        <v>7.6</v>
      </c>
      <c r="BT80" s="136">
        <v>342.49029561063003</v>
      </c>
    </row>
    <row r="81" spans="1:72" ht="16.5">
      <c r="A81" s="12"/>
      <c r="W81" s="153">
        <f t="shared" si="30"/>
        <v>38838</v>
      </c>
      <c r="X81" s="154">
        <v>5</v>
      </c>
      <c r="Y81" s="155">
        <v>48.1</v>
      </c>
      <c r="Z81" s="156">
        <f>VLOOKUP(Y81,$BS$4:$BT$1905,2)</f>
        <v>91021.698019309246</v>
      </c>
      <c r="AA81" s="157">
        <f t="shared" si="27"/>
        <v>-6594.6302378819673</v>
      </c>
      <c r="AR81" s="4"/>
      <c r="AS81" s="4"/>
      <c r="AT81" s="4"/>
      <c r="AU81" s="5"/>
      <c r="BS81" s="135">
        <v>7.7</v>
      </c>
      <c r="BT81" s="136">
        <v>358.41544739723298</v>
      </c>
    </row>
    <row r="82" spans="1:72" ht="16.5">
      <c r="A82" s="12"/>
      <c r="W82" s="153">
        <f t="shared" si="30"/>
        <v>38869</v>
      </c>
      <c r="X82" s="154">
        <v>6</v>
      </c>
      <c r="Y82" s="155">
        <v>47.5</v>
      </c>
      <c r="Z82" s="156">
        <f>VLOOKUP(Y82,$BS$4:$BT$1905,2)</f>
        <v>88227.207126505426</v>
      </c>
      <c r="AA82" s="157">
        <f t="shared" si="27"/>
        <v>-2794.4908928038203</v>
      </c>
      <c r="AR82" s="4"/>
      <c r="AS82" s="4"/>
      <c r="AT82" s="4"/>
      <c r="AU82" s="5"/>
      <c r="BS82" s="135">
        <v>7.8</v>
      </c>
      <c r="BT82" s="136">
        <v>374.86314322683387</v>
      </c>
    </row>
    <row r="83" spans="1:72" ht="16.5">
      <c r="A83" s="12"/>
      <c r="W83" s="153">
        <f t="shared" si="30"/>
        <v>38899</v>
      </c>
      <c r="X83" s="154">
        <v>7</v>
      </c>
      <c r="Y83" s="155">
        <v>46.6</v>
      </c>
      <c r="Z83" s="156">
        <f>VLOOKUP(Y83,$BS$4:$BT$1905,2)</f>
        <v>84066.885637503743</v>
      </c>
      <c r="AA83" s="157">
        <f t="shared" si="27"/>
        <v>-4160.3214890016825</v>
      </c>
      <c r="AR83" s="4"/>
      <c r="AS83" s="4"/>
      <c r="AT83" s="4"/>
      <c r="AU83" s="5"/>
      <c r="BS83" s="135">
        <v>7.9</v>
      </c>
      <c r="BT83" s="136">
        <v>391.85826614909922</v>
      </c>
    </row>
    <row r="84" spans="1:72" ht="16.5">
      <c r="A84" s="12"/>
      <c r="W84" s="153">
        <f t="shared" si="30"/>
        <v>38930</v>
      </c>
      <c r="X84" s="154">
        <v>8</v>
      </c>
      <c r="Y84" s="155">
        <v>41.3</v>
      </c>
      <c r="Z84" s="156">
        <v>72100</v>
      </c>
      <c r="AA84" s="157">
        <f t="shared" si="27"/>
        <v>-11966.885637503743</v>
      </c>
      <c r="AR84" s="4"/>
      <c r="AS84" s="4"/>
      <c r="AT84" s="4"/>
      <c r="AU84" s="5"/>
      <c r="BS84" s="135">
        <v>8</v>
      </c>
      <c r="BT84" s="136">
        <v>409.37593311436251</v>
      </c>
    </row>
    <row r="85" spans="1:72" ht="16.5">
      <c r="A85" s="12"/>
      <c r="W85" s="153">
        <f t="shared" si="30"/>
        <v>38961</v>
      </c>
      <c r="X85" s="154">
        <v>9</v>
      </c>
      <c r="Y85" s="155">
        <v>42</v>
      </c>
      <c r="Z85" s="156">
        <f t="shared" ref="Z85:Z97" si="31">VLOOKUP(Y85,$BS$4:$BT$1905,2)</f>
        <v>63473.897680899769</v>
      </c>
      <c r="AA85" s="157">
        <f t="shared" si="27"/>
        <v>-8626.1023191002314</v>
      </c>
      <c r="AR85" s="4"/>
      <c r="AS85" s="4"/>
      <c r="AT85" s="4"/>
      <c r="AU85" s="5"/>
      <c r="BS85" s="135">
        <v>8.1</v>
      </c>
      <c r="BT85" s="136">
        <v>427.36637802329057</v>
      </c>
    </row>
    <row r="86" spans="1:72" ht="16.5">
      <c r="A86" s="12"/>
      <c r="W86" s="153">
        <f t="shared" si="30"/>
        <v>38991</v>
      </c>
      <c r="X86" s="154">
        <v>10</v>
      </c>
      <c r="Y86" s="155">
        <v>41.8</v>
      </c>
      <c r="Z86" s="156">
        <f t="shared" si="31"/>
        <v>62623.27062804818</v>
      </c>
      <c r="AA86" s="157">
        <f t="shared" si="27"/>
        <v>-850.62705285158881</v>
      </c>
      <c r="AR86" s="4"/>
      <c r="AS86" s="4"/>
      <c r="AT86" s="4"/>
      <c r="AU86" s="5"/>
      <c r="BS86" s="135">
        <v>8.1999999999999993</v>
      </c>
      <c r="BT86" s="136">
        <v>445.85448392554991</v>
      </c>
    </row>
    <row r="87" spans="1:72" ht="16.5">
      <c r="A87" s="12"/>
      <c r="W87" s="153">
        <f t="shared" si="30"/>
        <v>39022</v>
      </c>
      <c r="X87" s="154">
        <v>11</v>
      </c>
      <c r="Y87" s="155">
        <v>45.9</v>
      </c>
      <c r="Z87" s="156">
        <f t="shared" si="31"/>
        <v>80856.250622076244</v>
      </c>
      <c r="AA87" s="157">
        <f t="shared" si="27"/>
        <v>18232.979994028065</v>
      </c>
      <c r="AR87" s="4"/>
      <c r="AS87" s="4"/>
      <c r="AT87" s="4"/>
      <c r="AU87" s="5"/>
      <c r="BS87" s="135">
        <v>8.3000000000000007</v>
      </c>
      <c r="BT87" s="136">
        <v>464.7904847218075</v>
      </c>
    </row>
    <row r="88" spans="1:72" ht="16.5">
      <c r="A88" s="12"/>
      <c r="W88" s="153">
        <f t="shared" si="30"/>
        <v>39052</v>
      </c>
      <c r="X88" s="154">
        <v>12</v>
      </c>
      <c r="Y88" s="155">
        <v>46.9</v>
      </c>
      <c r="Z88" s="156">
        <f t="shared" si="31"/>
        <v>85449.786005772869</v>
      </c>
      <c r="AA88" s="157">
        <f t="shared" si="27"/>
        <v>4593.5353836966242</v>
      </c>
      <c r="AR88" s="4"/>
      <c r="AS88" s="4"/>
      <c r="AT88" s="4"/>
      <c r="AU88" s="5"/>
      <c r="BS88" s="135">
        <v>8.4</v>
      </c>
      <c r="BT88" s="136">
        <v>484.22414651139644</v>
      </c>
    </row>
    <row r="89" spans="1:72" ht="16.5">
      <c r="A89" s="12"/>
      <c r="W89" s="153">
        <f t="shared" si="30"/>
        <v>39083</v>
      </c>
      <c r="X89" s="154">
        <v>1</v>
      </c>
      <c r="Y89" s="155">
        <v>50.8</v>
      </c>
      <c r="Z89" s="156">
        <f t="shared" si="31"/>
        <v>100000</v>
      </c>
      <c r="AA89" s="157">
        <f t="shared" si="27"/>
        <v>14550.213994227131</v>
      </c>
      <c r="AR89" s="4"/>
      <c r="AS89" s="4"/>
      <c r="AT89" s="4"/>
      <c r="AU89" s="5"/>
      <c r="BS89" s="135">
        <v>8.5</v>
      </c>
      <c r="BT89" s="136">
        <v>504.23011844331637</v>
      </c>
    </row>
    <row r="90" spans="1:72" ht="16.5">
      <c r="A90" s="12"/>
      <c r="W90" s="153">
        <f t="shared" si="30"/>
        <v>39114</v>
      </c>
      <c r="X90" s="154">
        <v>2</v>
      </c>
      <c r="Y90" s="155">
        <v>48.5</v>
      </c>
      <c r="Z90" s="156">
        <f t="shared" si="31"/>
        <v>92894.943764307754</v>
      </c>
      <c r="AA90" s="157">
        <f t="shared" si="27"/>
        <v>-7105.0562356922455</v>
      </c>
      <c r="AR90" s="4"/>
      <c r="AS90" s="4"/>
      <c r="AT90" s="4"/>
      <c r="AU90" s="5"/>
      <c r="BS90" s="135">
        <v>8.6</v>
      </c>
      <c r="BT90" s="136">
        <v>524.83328356723405</v>
      </c>
    </row>
    <row r="91" spans="1:72" ht="16.5">
      <c r="A91" s="12"/>
      <c r="W91" s="153">
        <f t="shared" si="30"/>
        <v>39142</v>
      </c>
      <c r="X91" s="154">
        <v>3</v>
      </c>
      <c r="Y91" s="155">
        <v>49.5</v>
      </c>
      <c r="Z91" s="156">
        <f t="shared" si="31"/>
        <v>97616.328257191213</v>
      </c>
      <c r="AA91" s="157">
        <f t="shared" si="27"/>
        <v>4721.3844928834587</v>
      </c>
      <c r="AR91" s="4"/>
      <c r="AS91" s="4"/>
      <c r="AT91" s="4"/>
      <c r="AU91" s="5"/>
      <c r="BS91" s="135">
        <v>8.6999999999999993</v>
      </c>
      <c r="BT91" s="136">
        <v>546.03364188314913</v>
      </c>
    </row>
    <row r="92" spans="1:72" ht="16.5">
      <c r="A92" s="12"/>
      <c r="W92" s="153">
        <f t="shared" si="30"/>
        <v>39173</v>
      </c>
      <c r="X92" s="154">
        <v>4</v>
      </c>
      <c r="Y92" s="155">
        <v>49.7</v>
      </c>
      <c r="Z92" s="156">
        <f t="shared" si="31"/>
        <v>98567.955608639386</v>
      </c>
      <c r="AA92" s="157">
        <f t="shared" si="27"/>
        <v>951.6273514481727</v>
      </c>
      <c r="AR92" s="4"/>
      <c r="AS92" s="4"/>
      <c r="AT92" s="4"/>
      <c r="AU92" s="5"/>
      <c r="BS92" s="135">
        <v>8.8000000000000007</v>
      </c>
      <c r="BT92" s="136">
        <v>567.88095949039518</v>
      </c>
    </row>
    <row r="93" spans="1:72" ht="16.5">
      <c r="A93" s="12"/>
      <c r="W93" s="153">
        <f t="shared" si="30"/>
        <v>39203</v>
      </c>
      <c r="X93" s="154">
        <v>5</v>
      </c>
      <c r="Y93" s="155">
        <v>49.4</v>
      </c>
      <c r="Z93" s="156">
        <f t="shared" si="31"/>
        <v>97141.634318702098</v>
      </c>
      <c r="AA93" s="157">
        <f t="shared" si="27"/>
        <v>-1426.3212899372884</v>
      </c>
      <c r="AR93" s="4"/>
      <c r="AS93" s="4"/>
      <c r="AT93" s="4"/>
      <c r="AU93" s="5"/>
      <c r="BS93" s="135">
        <v>8.9</v>
      </c>
      <c r="BT93" s="136">
        <v>590.35035333930534</v>
      </c>
    </row>
    <row r="94" spans="1:72" ht="16.5">
      <c r="A94" s="12"/>
      <c r="W94" s="153">
        <f t="shared" si="30"/>
        <v>39234</v>
      </c>
      <c r="X94" s="154">
        <v>6</v>
      </c>
      <c r="Y94" s="155">
        <v>51.4</v>
      </c>
      <c r="Z94" s="156">
        <f t="shared" si="31"/>
        <v>100000</v>
      </c>
      <c r="AA94" s="157">
        <f t="shared" si="27"/>
        <v>2858.3656812979025</v>
      </c>
      <c r="AR94" s="4"/>
      <c r="AS94" s="4"/>
      <c r="AT94" s="4"/>
      <c r="AU94" s="5"/>
      <c r="BS94" s="135">
        <v>9</v>
      </c>
      <c r="BT94" s="136">
        <v>613.56623867821247</v>
      </c>
    </row>
    <row r="95" spans="1:72" ht="16.5">
      <c r="A95" s="12"/>
      <c r="W95" s="153">
        <f t="shared" si="30"/>
        <v>39264</v>
      </c>
      <c r="X95" s="154">
        <v>7</v>
      </c>
      <c r="Y95" s="155">
        <v>51.5</v>
      </c>
      <c r="Z95" s="156">
        <f t="shared" si="31"/>
        <v>100000</v>
      </c>
      <c r="AA95" s="157">
        <f t="shared" si="27"/>
        <v>0</v>
      </c>
      <c r="AR95" s="4"/>
      <c r="AS95" s="4"/>
      <c r="AT95" s="4"/>
      <c r="AU95" s="5"/>
      <c r="BS95" s="135">
        <v>9.1</v>
      </c>
      <c r="BT95" s="136">
        <v>637.52861550711646</v>
      </c>
    </row>
    <row r="96" spans="1:72" ht="16.5">
      <c r="A96" s="12"/>
      <c r="W96" s="153">
        <f t="shared" si="30"/>
        <v>39295</v>
      </c>
      <c r="X96" s="154">
        <v>8</v>
      </c>
      <c r="Y96" s="155">
        <v>50</v>
      </c>
      <c r="Z96" s="156">
        <f t="shared" si="31"/>
        <v>100000</v>
      </c>
      <c r="AA96" s="157">
        <f t="shared" si="27"/>
        <v>0</v>
      </c>
      <c r="AR96" s="4"/>
      <c r="AS96" s="4"/>
      <c r="AT96" s="4"/>
      <c r="AU96" s="5"/>
      <c r="BS96" s="135">
        <v>9.1999999999999993</v>
      </c>
      <c r="BT96" s="136">
        <v>662.31213297501745</v>
      </c>
    </row>
    <row r="97" spans="1:72" ht="16.5">
      <c r="A97" s="12"/>
      <c r="W97" s="153">
        <f t="shared" si="30"/>
        <v>39326</v>
      </c>
      <c r="X97" s="154">
        <v>9</v>
      </c>
      <c r="Y97" s="155">
        <v>49.6</v>
      </c>
      <c r="Z97" s="156">
        <f t="shared" si="31"/>
        <v>98091.669154971634</v>
      </c>
      <c r="AA97" s="157">
        <f t="shared" si="27"/>
        <v>-1908.3308450283657</v>
      </c>
      <c r="AR97" s="4"/>
      <c r="AS97" s="4"/>
      <c r="AT97" s="4"/>
      <c r="AU97" s="5"/>
      <c r="BS97" s="135">
        <v>9.3000000000000007</v>
      </c>
      <c r="BT97" s="136">
        <v>687.8421419329153</v>
      </c>
    </row>
    <row r="98" spans="1:72" ht="16.5">
      <c r="A98" s="12"/>
      <c r="W98" s="153">
        <f t="shared" si="30"/>
        <v>39356</v>
      </c>
      <c r="X98" s="154">
        <v>10</v>
      </c>
      <c r="Y98" s="155">
        <v>47.8</v>
      </c>
      <c r="Z98" s="156">
        <v>93100</v>
      </c>
      <c r="AA98" s="157">
        <f t="shared" si="27"/>
        <v>-4991.6691549716343</v>
      </c>
      <c r="AR98" s="4"/>
      <c r="AS98" s="4"/>
      <c r="AT98" s="4"/>
      <c r="AU98" s="5"/>
      <c r="BS98" s="135">
        <v>9.4</v>
      </c>
      <c r="BT98" s="136">
        <v>714.11864238081023</v>
      </c>
    </row>
    <row r="99" spans="1:72" ht="16.5">
      <c r="A99" s="12"/>
      <c r="W99" s="153">
        <f t="shared" si="30"/>
        <v>39387</v>
      </c>
      <c r="X99" s="154">
        <v>11</v>
      </c>
      <c r="Y99" s="155">
        <v>47.7</v>
      </c>
      <c r="Z99" s="156">
        <f t="shared" ref="Z99:Z107" si="32">VLOOKUP(Y99,$BS$4:$BT$1905,2)</f>
        <v>89156.837862048371</v>
      </c>
      <c r="AA99" s="157">
        <f t="shared" si="27"/>
        <v>-3943.1621379516291</v>
      </c>
      <c r="AR99" s="4"/>
      <c r="AS99" s="4"/>
      <c r="AT99" s="4"/>
      <c r="AU99" s="5"/>
      <c r="BS99" s="135">
        <v>9.5</v>
      </c>
      <c r="BT99" s="136">
        <v>741.01721907036926</v>
      </c>
    </row>
    <row r="100" spans="1:72" ht="16.5">
      <c r="A100" s="12"/>
      <c r="W100" s="153">
        <f t="shared" si="30"/>
        <v>39417</v>
      </c>
      <c r="X100" s="154">
        <v>12</v>
      </c>
      <c r="Y100" s="155">
        <v>48.5</v>
      </c>
      <c r="Z100" s="156">
        <f t="shared" si="32"/>
        <v>92894.943764307754</v>
      </c>
      <c r="AA100" s="157">
        <f t="shared" si="27"/>
        <v>3738.1059022593836</v>
      </c>
      <c r="AR100" s="4"/>
      <c r="AS100" s="4"/>
      <c r="AT100" s="4"/>
      <c r="AU100" s="5"/>
      <c r="BS100" s="135">
        <v>9.6</v>
      </c>
      <c r="BT100" s="136">
        <v>768.51298895192599</v>
      </c>
    </row>
    <row r="101" spans="1:72" ht="16.5">
      <c r="A101" s="12"/>
      <c r="W101" s="153">
        <f t="shared" si="30"/>
        <v>39448</v>
      </c>
      <c r="X101" s="154">
        <v>1</v>
      </c>
      <c r="Y101" s="155">
        <v>46.5</v>
      </c>
      <c r="Z101" s="156">
        <f t="shared" si="32"/>
        <v>83606.997113566249</v>
      </c>
      <c r="AA101" s="157">
        <f t="shared" si="27"/>
        <v>-9287.9466507415054</v>
      </c>
      <c r="AR101" s="4"/>
      <c r="AS101" s="4"/>
      <c r="AT101" s="4"/>
      <c r="AU101" s="5"/>
      <c r="BS101" s="135">
        <v>9.6999999999999993</v>
      </c>
      <c r="BT101" s="136">
        <v>796.60595202548018</v>
      </c>
    </row>
    <row r="102" spans="1:72" ht="16.5">
      <c r="A102" s="12"/>
      <c r="W102" s="153">
        <f t="shared" si="30"/>
        <v>39479</v>
      </c>
      <c r="X102" s="154">
        <v>2</v>
      </c>
      <c r="Y102" s="155">
        <v>46.3</v>
      </c>
      <c r="Z102" s="156">
        <f t="shared" si="32"/>
        <v>82688.215387677905</v>
      </c>
      <c r="AA102" s="157">
        <f t="shared" si="27"/>
        <v>-918.78172588834423</v>
      </c>
      <c r="AR102" s="4"/>
      <c r="AS102" s="4"/>
      <c r="AT102" s="4"/>
      <c r="AU102" s="5"/>
      <c r="BS102" s="135">
        <v>9.8000000000000007</v>
      </c>
      <c r="BT102" s="136">
        <v>825.24634219169889</v>
      </c>
    </row>
    <row r="103" spans="1:72" ht="16.5">
      <c r="A103" s="12"/>
      <c r="W103" s="153">
        <f t="shared" si="30"/>
        <v>39508</v>
      </c>
      <c r="X103" s="154">
        <v>3</v>
      </c>
      <c r="Y103" s="155">
        <v>49.7</v>
      </c>
      <c r="Z103" s="156">
        <f t="shared" si="32"/>
        <v>98567.955608639386</v>
      </c>
      <c r="AA103" s="157">
        <f t="shared" si="27"/>
        <v>15879.740220961481</v>
      </c>
      <c r="AR103" s="4"/>
      <c r="AS103" s="4"/>
      <c r="AT103" s="4"/>
      <c r="AU103" s="5"/>
      <c r="BS103" s="135">
        <v>9.9</v>
      </c>
      <c r="BT103" s="136">
        <v>854.43415945058223</v>
      </c>
    </row>
    <row r="104" spans="1:72" ht="16.5">
      <c r="A104" s="12"/>
      <c r="W104" s="153">
        <f t="shared" si="30"/>
        <v>39539</v>
      </c>
      <c r="X104" s="154">
        <v>4</v>
      </c>
      <c r="Y104" s="155">
        <v>49.8</v>
      </c>
      <c r="Z104" s="156">
        <f t="shared" si="32"/>
        <v>99044.640191101818</v>
      </c>
      <c r="AA104" s="157">
        <f t="shared" si="27"/>
        <v>476.68458246243245</v>
      </c>
      <c r="AR104" s="4"/>
      <c r="AS104" s="4"/>
      <c r="AT104" s="4"/>
      <c r="AU104" s="5"/>
      <c r="BS104" s="135">
        <v>10</v>
      </c>
      <c r="BT104" s="136">
        <v>884.16940380212998</v>
      </c>
    </row>
    <row r="105" spans="1:72" ht="16.5">
      <c r="A105" s="12"/>
      <c r="W105" s="153">
        <f t="shared" si="30"/>
        <v>39569</v>
      </c>
      <c r="X105" s="154">
        <v>5</v>
      </c>
      <c r="Y105" s="155">
        <v>49.6</v>
      </c>
      <c r="Z105" s="156">
        <f t="shared" si="32"/>
        <v>98091.669154971634</v>
      </c>
      <c r="AA105" s="157">
        <f t="shared" si="27"/>
        <v>-952.97103613018407</v>
      </c>
      <c r="AR105" s="4"/>
      <c r="AS105" s="4"/>
      <c r="AT105" s="4"/>
      <c r="AU105" s="5"/>
      <c r="BS105" s="135">
        <v>10.1</v>
      </c>
      <c r="BT105" s="136">
        <v>914.40230914700908</v>
      </c>
    </row>
    <row r="106" spans="1:72" ht="16.5">
      <c r="A106" s="12"/>
      <c r="W106" s="153">
        <f t="shared" si="30"/>
        <v>39600</v>
      </c>
      <c r="X106" s="154">
        <v>6</v>
      </c>
      <c r="Y106" s="155">
        <v>48.3</v>
      </c>
      <c r="Z106" s="156">
        <f t="shared" si="32"/>
        <v>91957.300686772185</v>
      </c>
      <c r="AA106" s="157">
        <f t="shared" si="27"/>
        <v>-6134.3684681994491</v>
      </c>
      <c r="AR106" s="4"/>
      <c r="AS106" s="4"/>
      <c r="AT106" s="4"/>
      <c r="AU106" s="5"/>
      <c r="BS106" s="135">
        <v>10.199999999999999</v>
      </c>
      <c r="BT106" s="136">
        <v>945.23240768388575</v>
      </c>
    </row>
    <row r="107" spans="1:72" ht="16.5">
      <c r="A107" s="12"/>
      <c r="W107" s="153">
        <f t="shared" si="30"/>
        <v>39630</v>
      </c>
      <c r="X107" s="154">
        <v>7</v>
      </c>
      <c r="Y107" s="155">
        <v>47.4</v>
      </c>
      <c r="Z107" s="156">
        <f t="shared" si="32"/>
        <v>87763.237782422628</v>
      </c>
      <c r="AA107" s="157">
        <f t="shared" si="27"/>
        <v>-4194.0629043495574</v>
      </c>
      <c r="AR107" s="4"/>
      <c r="AS107" s="4"/>
      <c r="AT107" s="4"/>
      <c r="AU107" s="5"/>
      <c r="BS107" s="135">
        <v>10.3</v>
      </c>
      <c r="BT107" s="136">
        <v>976.60993331342684</v>
      </c>
    </row>
    <row r="108" spans="1:72" ht="16.5">
      <c r="A108" s="12"/>
      <c r="W108" s="153">
        <f t="shared" si="30"/>
        <v>39661</v>
      </c>
      <c r="X108" s="154">
        <v>8</v>
      </c>
      <c r="Y108" s="155">
        <v>44.7</v>
      </c>
      <c r="Z108" s="156">
        <v>79200</v>
      </c>
      <c r="AA108" s="157">
        <f t="shared" si="27"/>
        <v>-8563.2377824226278</v>
      </c>
      <c r="AR108" s="4"/>
      <c r="AS108" s="4"/>
      <c r="AT108" s="4"/>
      <c r="AU108" s="5"/>
      <c r="BS108" s="135">
        <v>10.4</v>
      </c>
      <c r="BT108" s="136">
        <v>1008.6095351846321</v>
      </c>
    </row>
    <row r="109" spans="1:72" ht="16.5">
      <c r="A109" s="12"/>
      <c r="W109" s="153">
        <f t="shared" si="30"/>
        <v>39692</v>
      </c>
      <c r="X109" s="154">
        <v>9</v>
      </c>
      <c r="Y109" s="155">
        <v>44.8</v>
      </c>
      <c r="Z109" s="156">
        <f t="shared" ref="Z109:Z115" si="33">VLOOKUP(Y109,$BS$4:$BT$1905,2)</f>
        <v>75853.936498457246</v>
      </c>
      <c r="AA109" s="157">
        <f t="shared" ref="AA109:AA133" si="34">Z109-Z108</f>
        <v>-3346.0635015427542</v>
      </c>
      <c r="AR109" s="4"/>
      <c r="AS109" s="4"/>
      <c r="AT109" s="4"/>
      <c r="AU109" s="5"/>
      <c r="BS109" s="135">
        <v>10.5</v>
      </c>
      <c r="BT109" s="136">
        <v>1041.2809793968349</v>
      </c>
    </row>
    <row r="110" spans="1:72" ht="16.5">
      <c r="A110" s="12"/>
      <c r="W110" s="153">
        <f t="shared" si="30"/>
        <v>39722</v>
      </c>
      <c r="X110" s="154">
        <v>10</v>
      </c>
      <c r="Y110" s="155">
        <v>41.9</v>
      </c>
      <c r="Z110" s="156">
        <f t="shared" si="33"/>
        <v>63047.924753657811</v>
      </c>
      <c r="AA110" s="157">
        <f t="shared" si="34"/>
        <v>-12806.011744799434</v>
      </c>
      <c r="AR110" s="4"/>
      <c r="AS110" s="4"/>
      <c r="AT110" s="4"/>
      <c r="AU110" s="5"/>
      <c r="BS110" s="135">
        <v>10.6</v>
      </c>
      <c r="BT110" s="136">
        <v>1074.6491489997013</v>
      </c>
    </row>
    <row r="111" spans="1:72" ht="16.5">
      <c r="A111" s="12"/>
      <c r="W111" s="153">
        <f t="shared" si="30"/>
        <v>39753</v>
      </c>
      <c r="X111" s="154">
        <v>11</v>
      </c>
      <c r="Y111" s="155">
        <v>41.8</v>
      </c>
      <c r="Z111" s="156">
        <f t="shared" si="33"/>
        <v>62623.27062804818</v>
      </c>
      <c r="AA111" s="157">
        <f t="shared" si="34"/>
        <v>-424.65412560963159</v>
      </c>
      <c r="AR111" s="4"/>
      <c r="AS111" s="4"/>
      <c r="AT111" s="4"/>
      <c r="AU111" s="5"/>
      <c r="BS111" s="135">
        <v>10.7</v>
      </c>
      <c r="BT111" s="136">
        <v>1108.6642778938988</v>
      </c>
    </row>
    <row r="112" spans="1:72" ht="16.5">
      <c r="A112" s="12"/>
      <c r="W112" s="153">
        <f t="shared" si="30"/>
        <v>39783</v>
      </c>
      <c r="X112" s="154">
        <v>12</v>
      </c>
      <c r="Y112" s="155">
        <v>43</v>
      </c>
      <c r="Z112" s="156">
        <f t="shared" si="33"/>
        <v>67808.524932815766</v>
      </c>
      <c r="AA112" s="157">
        <f t="shared" si="34"/>
        <v>5185.2543047675863</v>
      </c>
      <c r="AR112" s="4"/>
      <c r="AS112" s="4"/>
      <c r="AT112" s="4"/>
      <c r="AU112" s="5"/>
      <c r="BS112" s="135">
        <v>10.8</v>
      </c>
      <c r="BT112" s="136">
        <v>1143.3263660794266</v>
      </c>
    </row>
    <row r="113" spans="1:72" ht="16.5">
      <c r="A113" s="12"/>
      <c r="W113" s="153">
        <f t="shared" si="30"/>
        <v>39814</v>
      </c>
      <c r="X113" s="154">
        <v>1</v>
      </c>
      <c r="Y113" s="155">
        <v>43.5</v>
      </c>
      <c r="Z113" s="156">
        <f t="shared" si="33"/>
        <v>70019.881556683584</v>
      </c>
      <c r="AA113" s="157">
        <f t="shared" si="34"/>
        <v>2211.3566238678177</v>
      </c>
      <c r="AR113" s="4"/>
      <c r="AS113" s="4"/>
      <c r="AT113" s="4"/>
      <c r="AU113" s="5"/>
      <c r="BS113" s="135">
        <v>10.9</v>
      </c>
      <c r="BT113" s="136">
        <v>1178.6354135562856</v>
      </c>
    </row>
    <row r="114" spans="1:72" ht="16.5">
      <c r="A114" s="12"/>
      <c r="W114" s="153">
        <f t="shared" si="30"/>
        <v>39845</v>
      </c>
      <c r="X114" s="154">
        <v>2</v>
      </c>
      <c r="Y114" s="155">
        <v>41.5</v>
      </c>
      <c r="Z114" s="156">
        <f t="shared" si="33"/>
        <v>61360.032845625559</v>
      </c>
      <c r="AA114" s="157">
        <f t="shared" si="34"/>
        <v>-8659.8487110580245</v>
      </c>
      <c r="AR114" s="4"/>
      <c r="AS114" s="4"/>
      <c r="AT114" s="4"/>
      <c r="AU114" s="5"/>
      <c r="BS114" s="135">
        <v>11</v>
      </c>
      <c r="BT114" s="136">
        <v>1214.6163033741416</v>
      </c>
    </row>
    <row r="115" spans="1:72" ht="16.5">
      <c r="A115" s="12"/>
      <c r="W115" s="153">
        <f t="shared" si="30"/>
        <v>39873</v>
      </c>
      <c r="X115" s="154">
        <v>3</v>
      </c>
      <c r="Y115" s="155">
        <v>44.3</v>
      </c>
      <c r="Z115" s="156">
        <f t="shared" si="33"/>
        <v>73598.611525828601</v>
      </c>
      <c r="AA115" s="157">
        <f t="shared" si="34"/>
        <v>12238.578680203042</v>
      </c>
      <c r="AR115" s="4"/>
      <c r="AS115" s="4"/>
      <c r="AT115" s="4"/>
      <c r="AU115" s="5"/>
      <c r="BS115" s="135">
        <v>11.1</v>
      </c>
      <c r="BT115" s="136">
        <v>1251.2939185826615</v>
      </c>
    </row>
    <row r="116" spans="1:72" ht="16.5">
      <c r="A116" s="12"/>
      <c r="W116" s="153">
        <f t="shared" si="30"/>
        <v>39904</v>
      </c>
      <c r="X116" s="154">
        <v>4</v>
      </c>
      <c r="Y116" s="155">
        <v>47.7</v>
      </c>
      <c r="Z116" s="156">
        <v>84100</v>
      </c>
      <c r="AA116" s="157">
        <f t="shared" si="34"/>
        <v>10501.388474171399</v>
      </c>
      <c r="AR116" s="4"/>
      <c r="AS116" s="4"/>
      <c r="AT116" s="4"/>
      <c r="AU116" s="5"/>
      <c r="BS116" s="135">
        <v>11.2</v>
      </c>
      <c r="BT116" s="136">
        <v>1288.6184930825123</v>
      </c>
    </row>
    <row r="117" spans="1:72" ht="16.5">
      <c r="A117" s="12"/>
      <c r="W117" s="153">
        <f t="shared" si="30"/>
        <v>39934</v>
      </c>
      <c r="X117" s="154">
        <v>5</v>
      </c>
      <c r="Y117" s="155">
        <v>50.5</v>
      </c>
      <c r="Z117" s="156">
        <v>96000</v>
      </c>
      <c r="AA117" s="157">
        <f t="shared" si="34"/>
        <v>11900</v>
      </c>
      <c r="AR117" s="4"/>
      <c r="AS117" s="4"/>
      <c r="AT117" s="4"/>
      <c r="AU117" s="5"/>
      <c r="BS117" s="135">
        <v>11.3</v>
      </c>
      <c r="BT117" s="136">
        <v>1326.565143824027</v>
      </c>
    </row>
    <row r="118" spans="1:72" ht="16.5">
      <c r="A118" s="12"/>
      <c r="W118" s="153">
        <f t="shared" si="30"/>
        <v>39965</v>
      </c>
      <c r="X118" s="154">
        <v>6</v>
      </c>
      <c r="Y118" s="155">
        <v>50.4</v>
      </c>
      <c r="Z118" s="156">
        <f>VLOOKUP(Y118,$BS$4:$BT$1905,2)</f>
        <v>100000</v>
      </c>
      <c r="AA118" s="157">
        <f t="shared" si="34"/>
        <v>4000</v>
      </c>
      <c r="AR118" s="4"/>
      <c r="AS118" s="4"/>
      <c r="AT118" s="4"/>
      <c r="AU118" s="5"/>
      <c r="BS118" s="135">
        <v>11.4</v>
      </c>
      <c r="BT118" s="136">
        <v>1365.183636906539</v>
      </c>
    </row>
    <row r="119" spans="1:72" ht="16.5">
      <c r="A119" s="12"/>
      <c r="W119" s="153">
        <f t="shared" si="30"/>
        <v>39995</v>
      </c>
      <c r="X119" s="154">
        <v>7</v>
      </c>
      <c r="Y119" s="155">
        <v>47.5</v>
      </c>
      <c r="Z119" s="156">
        <f>VLOOKUP(Y119,$BS$4:$BT$1905,2)</f>
        <v>88227.207126505426</v>
      </c>
      <c r="AA119" s="157">
        <f t="shared" si="34"/>
        <v>-11772.792873494574</v>
      </c>
      <c r="AR119" s="4"/>
      <c r="AS119" s="4"/>
      <c r="AT119" s="4"/>
      <c r="AU119" s="5"/>
      <c r="BS119" s="135">
        <v>11.5</v>
      </c>
      <c r="BT119" s="136">
        <v>1404.4490892803819</v>
      </c>
    </row>
    <row r="120" spans="1:72" ht="16.5">
      <c r="A120" s="12"/>
      <c r="W120" s="153">
        <f t="shared" si="30"/>
        <v>40026</v>
      </c>
      <c r="X120" s="154">
        <v>8</v>
      </c>
      <c r="Y120" s="155">
        <v>46</v>
      </c>
      <c r="Z120" s="156">
        <v>83100</v>
      </c>
      <c r="AA120" s="157">
        <f t="shared" si="34"/>
        <v>-5127.2071265054255</v>
      </c>
      <c r="AR120" s="4"/>
      <c r="AS120" s="4"/>
      <c r="AT120" s="4"/>
      <c r="AU120" s="5"/>
      <c r="BS120" s="135">
        <v>11.6</v>
      </c>
      <c r="BT120" s="136">
        <v>1444.4361500945556</v>
      </c>
    </row>
    <row r="121" spans="1:72" ht="16.5">
      <c r="A121" s="12"/>
      <c r="W121" s="153">
        <f t="shared" si="30"/>
        <v>40057</v>
      </c>
      <c r="X121" s="154">
        <v>9</v>
      </c>
      <c r="Y121" s="155">
        <v>48.3</v>
      </c>
      <c r="Z121" s="156">
        <f t="shared" ref="Z121:Z131" si="35">VLOOKUP(Y121,$BS$4:$BT$1905,2)</f>
        <v>91957.300686772185</v>
      </c>
      <c r="AA121" s="157">
        <f t="shared" si="34"/>
        <v>8857.3006867721851</v>
      </c>
      <c r="AR121" s="4"/>
      <c r="AS121" s="4"/>
      <c r="AT121" s="4"/>
      <c r="AU121" s="5"/>
      <c r="BS121" s="135">
        <v>11.7</v>
      </c>
      <c r="BT121" s="136">
        <v>1485.119936299393</v>
      </c>
    </row>
    <row r="122" spans="1:72" ht="16.5">
      <c r="A122" s="12"/>
      <c r="W122" s="153">
        <f t="shared" si="30"/>
        <v>40087</v>
      </c>
      <c r="X122" s="154">
        <v>10</v>
      </c>
      <c r="Y122" s="155">
        <v>50.2</v>
      </c>
      <c r="Z122" s="156">
        <f t="shared" si="35"/>
        <v>100000</v>
      </c>
      <c r="AA122" s="157">
        <f t="shared" si="34"/>
        <v>8042.6993132278149</v>
      </c>
      <c r="AR122" s="4"/>
      <c r="AS122" s="4"/>
      <c r="AT122" s="4"/>
      <c r="AU122" s="5"/>
      <c r="BS122" s="135">
        <v>11.8</v>
      </c>
      <c r="BT122" s="136">
        <v>1526.4755648452276</v>
      </c>
    </row>
    <row r="123" spans="1:72" ht="16.5">
      <c r="A123" s="12"/>
      <c r="W123" s="153">
        <f t="shared" si="30"/>
        <v>40118</v>
      </c>
      <c r="X123" s="154">
        <v>11</v>
      </c>
      <c r="Y123" s="155">
        <v>49.3</v>
      </c>
      <c r="Z123" s="156">
        <f t="shared" si="35"/>
        <v>96667.263859858664</v>
      </c>
      <c r="AA123" s="157">
        <f t="shared" si="34"/>
        <v>-3332.7361401413364</v>
      </c>
      <c r="AR123" s="4"/>
      <c r="AS123" s="4"/>
      <c r="AT123" s="4"/>
      <c r="AU123" s="5"/>
      <c r="BS123" s="135">
        <v>11.9</v>
      </c>
      <c r="BT123" s="136">
        <v>1568.5528018313923</v>
      </c>
    </row>
    <row r="124" spans="1:72" ht="16.5">
      <c r="A124" s="12"/>
      <c r="W124" s="153">
        <f t="shared" si="30"/>
        <v>40148</v>
      </c>
      <c r="X124" s="154">
        <v>12</v>
      </c>
      <c r="Y124" s="155">
        <v>49.2</v>
      </c>
      <c r="Z124" s="156">
        <f t="shared" si="35"/>
        <v>96193.814073852904</v>
      </c>
      <c r="AA124" s="157">
        <f t="shared" si="34"/>
        <v>-473.44978600575996</v>
      </c>
      <c r="AR124" s="4"/>
      <c r="AS124" s="4"/>
      <c r="AT124" s="4"/>
      <c r="AU124" s="5"/>
      <c r="BS124" s="135">
        <v>12</v>
      </c>
      <c r="BT124" s="136">
        <v>1611.4014133572211</v>
      </c>
    </row>
    <row r="125" spans="1:72" ht="16.5">
      <c r="A125" s="12"/>
      <c r="W125" s="153">
        <f t="shared" si="30"/>
        <v>40179</v>
      </c>
      <c r="X125" s="154">
        <v>1</v>
      </c>
      <c r="Y125" s="155">
        <v>48.5</v>
      </c>
      <c r="Z125" s="156">
        <f t="shared" si="35"/>
        <v>92894.943764307754</v>
      </c>
      <c r="AA125" s="157">
        <f t="shared" si="34"/>
        <v>-3298.8703095451492</v>
      </c>
      <c r="AR125" s="4"/>
      <c r="AS125" s="4"/>
      <c r="AT125" s="4"/>
      <c r="AU125" s="5"/>
      <c r="BS125" s="135">
        <v>12.1</v>
      </c>
      <c r="BT125" s="136">
        <v>1654.9965163730467</v>
      </c>
    </row>
    <row r="126" spans="1:72" ht="16.5">
      <c r="A126" s="12"/>
      <c r="W126" s="153">
        <f t="shared" si="30"/>
        <v>40210</v>
      </c>
      <c r="X126" s="154">
        <v>2</v>
      </c>
      <c r="Y126" s="155">
        <v>49.5</v>
      </c>
      <c r="Z126" s="156">
        <f t="shared" si="35"/>
        <v>97616.328257191213</v>
      </c>
      <c r="AA126" s="157">
        <f t="shared" si="34"/>
        <v>4721.3844928834587</v>
      </c>
      <c r="AR126" s="4"/>
      <c r="AS126" s="4"/>
      <c r="AT126" s="4"/>
      <c r="AU126" s="5"/>
      <c r="BS126" s="135">
        <v>12.2</v>
      </c>
      <c r="BT126" s="136">
        <v>1699.3629939285361</v>
      </c>
    </row>
    <row r="127" spans="1:72" ht="16.5">
      <c r="A127" s="12"/>
      <c r="W127" s="153">
        <f t="shared" si="30"/>
        <v>40238</v>
      </c>
      <c r="X127" s="154">
        <v>3</v>
      </c>
      <c r="Y127" s="155">
        <v>49.4</v>
      </c>
      <c r="Z127" s="156">
        <f t="shared" si="35"/>
        <v>97141.634318702098</v>
      </c>
      <c r="AA127" s="157">
        <f t="shared" si="34"/>
        <v>-474.69393848911568</v>
      </c>
      <c r="AR127" s="4"/>
      <c r="AS127" s="4"/>
      <c r="AT127" s="4"/>
      <c r="AU127" s="5"/>
      <c r="BS127" s="135">
        <v>12.3</v>
      </c>
      <c r="BT127" s="136">
        <v>1744.4261968746887</v>
      </c>
    </row>
    <row r="128" spans="1:72" ht="16.5">
      <c r="A128" s="12"/>
      <c r="W128" s="153">
        <f t="shared" si="30"/>
        <v>40269</v>
      </c>
      <c r="X128" s="154">
        <v>4</v>
      </c>
      <c r="Y128" s="155">
        <v>50.3</v>
      </c>
      <c r="Z128" s="156">
        <f t="shared" si="35"/>
        <v>100000</v>
      </c>
      <c r="AA128" s="157">
        <f t="shared" si="34"/>
        <v>2858.3656812979025</v>
      </c>
      <c r="AR128" s="4"/>
      <c r="AS128" s="4"/>
      <c r="AT128" s="4"/>
      <c r="AU128" s="5"/>
      <c r="BS128" s="135">
        <v>12.4</v>
      </c>
      <c r="BT128" s="136">
        <v>1790.2856574101722</v>
      </c>
    </row>
    <row r="129" spans="1:72" ht="16.5">
      <c r="A129" s="12"/>
      <c r="W129" s="153">
        <f t="shared" si="30"/>
        <v>40299</v>
      </c>
      <c r="X129" s="154">
        <v>5</v>
      </c>
      <c r="Y129" s="155">
        <v>50</v>
      </c>
      <c r="Z129" s="156">
        <f t="shared" si="35"/>
        <v>100000</v>
      </c>
      <c r="AA129" s="157">
        <f t="shared" si="34"/>
        <v>0</v>
      </c>
      <c r="AR129" s="4"/>
      <c r="AS129" s="4"/>
      <c r="AT129" s="4"/>
      <c r="AU129" s="5"/>
      <c r="BS129" s="135">
        <v>12.5</v>
      </c>
      <c r="BT129" s="136">
        <v>1836.9164924853192</v>
      </c>
    </row>
    <row r="130" spans="1:72" ht="16.5">
      <c r="A130" s="12"/>
      <c r="W130" s="153">
        <f t="shared" si="30"/>
        <v>40330</v>
      </c>
      <c r="X130" s="154">
        <v>6</v>
      </c>
      <c r="Y130" s="155">
        <v>48.9</v>
      </c>
      <c r="Z130" s="156">
        <f t="shared" si="35"/>
        <v>94776.699512292224</v>
      </c>
      <c r="AA130" s="157">
        <f t="shared" si="34"/>
        <v>-5223.3004877077765</v>
      </c>
      <c r="AR130" s="4"/>
      <c r="AS130" s="4"/>
      <c r="AT130" s="4"/>
      <c r="AU130" s="5"/>
      <c r="BS130" s="135">
        <v>12.6</v>
      </c>
      <c r="BT130" s="136">
        <v>1884.2689360007964</v>
      </c>
    </row>
    <row r="131" spans="1:72" ht="16.5">
      <c r="A131" s="12"/>
      <c r="W131" s="153">
        <f t="shared" si="30"/>
        <v>40360</v>
      </c>
      <c r="X131" s="154">
        <v>7</v>
      </c>
      <c r="Y131" s="155">
        <v>50.3</v>
      </c>
      <c r="Z131" s="156">
        <f t="shared" si="35"/>
        <v>100000</v>
      </c>
      <c r="AA131" s="157">
        <f t="shared" si="34"/>
        <v>5223.3004877077765</v>
      </c>
      <c r="AR131" s="4"/>
      <c r="AS131" s="4"/>
      <c r="AT131" s="4"/>
      <c r="AU131" s="5"/>
      <c r="BS131" s="135">
        <v>12.7</v>
      </c>
      <c r="BT131" s="136">
        <v>1932.3181049069372</v>
      </c>
    </row>
    <row r="132" spans="1:72" ht="16.5">
      <c r="A132" s="12"/>
      <c r="W132" s="153">
        <f t="shared" si="30"/>
        <v>40391</v>
      </c>
      <c r="X132" s="154">
        <v>8</v>
      </c>
      <c r="Y132" s="155">
        <v>46.6</v>
      </c>
      <c r="Z132" s="156">
        <v>89100</v>
      </c>
      <c r="AA132" s="157">
        <f t="shared" si="34"/>
        <v>-10900</v>
      </c>
      <c r="AR132" s="4"/>
      <c r="AS132" s="4"/>
      <c r="AT132" s="4"/>
      <c r="AU132" s="5"/>
      <c r="BS132" s="135">
        <v>12.8</v>
      </c>
      <c r="BT132" s="136">
        <v>1981.0391161540756</v>
      </c>
    </row>
    <row r="133" spans="1:72" ht="16.5">
      <c r="A133" s="12"/>
      <c r="W133" s="153">
        <f t="shared" si="30"/>
        <v>40422</v>
      </c>
      <c r="X133" s="154">
        <v>9</v>
      </c>
      <c r="Y133" s="155">
        <v>49.4</v>
      </c>
      <c r="Z133" s="156">
        <f t="shared" ref="Z133:Z164" si="36">VLOOKUP(Y133,$BS$4:$BT$1905,2)</f>
        <v>97141.634318702098</v>
      </c>
      <c r="AA133" s="157">
        <f t="shared" si="34"/>
        <v>8041.6343187020975</v>
      </c>
      <c r="AR133" s="4"/>
      <c r="AS133" s="4"/>
      <c r="AT133" s="4"/>
      <c r="AU133" s="5"/>
      <c r="BS133" s="135">
        <v>12.9</v>
      </c>
      <c r="BT133" s="136">
        <v>2030.4817358415446</v>
      </c>
    </row>
    <row r="134" spans="1:72" ht="16.5">
      <c r="A134" s="12"/>
      <c r="W134" s="153">
        <f t="shared" ref="W134:W197" si="37">DATE(YEAR(W133),MONTH(W133)+1,DAY(W133))</f>
        <v>40452</v>
      </c>
      <c r="X134" s="154">
        <v>10</v>
      </c>
      <c r="Y134" s="155">
        <v>49.4</v>
      </c>
      <c r="Z134" s="156">
        <f t="shared" si="36"/>
        <v>97141.634318702098</v>
      </c>
      <c r="AA134" s="157">
        <f>Z134-Z133</f>
        <v>0</v>
      </c>
      <c r="AR134" s="4"/>
      <c r="AS134" s="4"/>
      <c r="AT134" s="4"/>
      <c r="AU134" s="5"/>
      <c r="BS134" s="135">
        <v>13</v>
      </c>
      <c r="BT134" s="136">
        <v>2080.6210809196773</v>
      </c>
    </row>
    <row r="135" spans="1:72" ht="16.5">
      <c r="A135" s="12"/>
      <c r="W135" s="153">
        <f t="shared" si="37"/>
        <v>40483</v>
      </c>
      <c r="X135" s="154">
        <v>11</v>
      </c>
      <c r="Y135" s="155">
        <v>48.1</v>
      </c>
      <c r="Z135" s="156">
        <f t="shared" si="36"/>
        <v>91021.698019309246</v>
      </c>
      <c r="AA135" s="157">
        <f>Z135-Z134</f>
        <v>-6119.9362993928517</v>
      </c>
      <c r="AR135" s="4"/>
      <c r="AS135" s="4"/>
      <c r="AT135" s="4"/>
      <c r="AU135" s="5"/>
      <c r="BS135" s="135">
        <v>13.1</v>
      </c>
      <c r="BT135" s="136">
        <v>2131.4571513884739</v>
      </c>
    </row>
    <row r="136" spans="1:72" ht="16.5">
      <c r="A136" s="12"/>
      <c r="W136" s="153">
        <f t="shared" si="37"/>
        <v>40513</v>
      </c>
      <c r="X136" s="154">
        <v>12</v>
      </c>
      <c r="Y136" s="155">
        <v>47.1</v>
      </c>
      <c r="Z136" s="156">
        <f t="shared" si="36"/>
        <v>86373.569224644161</v>
      </c>
      <c r="AA136" s="157">
        <f>Z136-Z135</f>
        <v>-4648.1287946650846</v>
      </c>
      <c r="AR136" s="4"/>
      <c r="AS136" s="4"/>
      <c r="AT136" s="4"/>
      <c r="AU136" s="5"/>
      <c r="BS136" s="135">
        <v>13.2</v>
      </c>
      <c r="BT136" s="136">
        <v>2183.0148302976013</v>
      </c>
    </row>
    <row r="137" spans="1:72" ht="16.5">
      <c r="A137" s="12"/>
      <c r="W137" s="153">
        <f t="shared" si="37"/>
        <v>40544</v>
      </c>
      <c r="X137" s="154">
        <v>1</v>
      </c>
      <c r="Y137" s="155">
        <v>49.4</v>
      </c>
      <c r="Z137" s="156">
        <f t="shared" si="36"/>
        <v>97141.634318702098</v>
      </c>
      <c r="AA137" s="157">
        <f t="shared" ref="AA137:AA191" si="38">Z137-Z136</f>
        <v>10768.065094057936</v>
      </c>
      <c r="AR137" s="4"/>
      <c r="AS137" s="4"/>
      <c r="AT137" s="4"/>
      <c r="AU137" s="5"/>
      <c r="BS137" s="135">
        <v>13.3</v>
      </c>
      <c r="BT137" s="136">
        <v>2235.2194684980591</v>
      </c>
    </row>
    <row r="138" spans="1:72" ht="16.5">
      <c r="A138" s="12"/>
      <c r="W138" s="153">
        <f t="shared" si="37"/>
        <v>40575</v>
      </c>
      <c r="X138" s="154">
        <v>2</v>
      </c>
      <c r="Y138" s="155">
        <v>49.8</v>
      </c>
      <c r="Z138" s="156">
        <f t="shared" si="36"/>
        <v>99044.640191101818</v>
      </c>
      <c r="AA138" s="157">
        <f t="shared" si="38"/>
        <v>1903.0058723997208</v>
      </c>
      <c r="AR138" s="4"/>
      <c r="AS138" s="4"/>
      <c r="AT138" s="4"/>
      <c r="AU138" s="5"/>
      <c r="BS138" s="135">
        <v>13.4</v>
      </c>
      <c r="BT138" s="136">
        <v>2288.1457151388472</v>
      </c>
    </row>
    <row r="139" spans="1:72" ht="16.5">
      <c r="A139" s="12"/>
      <c r="W139" s="153">
        <f t="shared" si="37"/>
        <v>40603</v>
      </c>
      <c r="X139" s="154">
        <v>3</v>
      </c>
      <c r="Y139" s="155">
        <v>48.2</v>
      </c>
      <c r="Z139" s="156">
        <f t="shared" si="36"/>
        <v>91489.374937792381</v>
      </c>
      <c r="AA139" s="157">
        <f t="shared" si="38"/>
        <v>-7555.265253309437</v>
      </c>
      <c r="AR139" s="4"/>
      <c r="AS139" s="4"/>
      <c r="AT139" s="4"/>
      <c r="AU139" s="5"/>
      <c r="BS139" s="135">
        <v>13.5</v>
      </c>
      <c r="BT139" s="136">
        <v>2341.6940380213</v>
      </c>
    </row>
    <row r="140" spans="1:72" ht="16.5">
      <c r="A140" s="12"/>
      <c r="W140" s="153">
        <f t="shared" si="37"/>
        <v>40634</v>
      </c>
      <c r="X140" s="154">
        <v>4</v>
      </c>
      <c r="Y140" s="155">
        <v>47.1</v>
      </c>
      <c r="Z140" s="156">
        <f t="shared" si="36"/>
        <v>86373.569224644161</v>
      </c>
      <c r="AA140" s="157">
        <f t="shared" si="38"/>
        <v>-5115.8057131482201</v>
      </c>
      <c r="AR140" s="4"/>
      <c r="AS140" s="4"/>
      <c r="AT140" s="4"/>
      <c r="AU140" s="5"/>
      <c r="BS140" s="135">
        <v>13.6</v>
      </c>
      <c r="BT140" s="136">
        <v>2395.8893201950832</v>
      </c>
    </row>
    <row r="141" spans="1:72" ht="16.5">
      <c r="A141" s="12"/>
      <c r="W141" s="153">
        <f t="shared" si="37"/>
        <v>40664</v>
      </c>
      <c r="X141" s="154">
        <v>5</v>
      </c>
      <c r="Y141" s="155">
        <v>49.4</v>
      </c>
      <c r="Z141" s="156">
        <f t="shared" si="36"/>
        <v>97141.634318702098</v>
      </c>
      <c r="AA141" s="157">
        <f t="shared" si="38"/>
        <v>10768.065094057936</v>
      </c>
      <c r="AR141" s="4"/>
      <c r="AS141" s="4"/>
      <c r="AT141" s="4"/>
      <c r="AU141" s="5"/>
      <c r="BS141" s="135">
        <v>13.7</v>
      </c>
      <c r="BT141" s="136">
        <v>2450.7813277595301</v>
      </c>
    </row>
    <row r="142" spans="1:72" ht="16.5">
      <c r="A142" s="12"/>
      <c r="W142" s="153">
        <f t="shared" si="37"/>
        <v>40695</v>
      </c>
      <c r="X142" s="154">
        <v>6</v>
      </c>
      <c r="Y142" s="155">
        <v>48.1</v>
      </c>
      <c r="Z142" s="156">
        <f t="shared" si="36"/>
        <v>91021.698019309246</v>
      </c>
      <c r="AA142" s="157">
        <f t="shared" si="38"/>
        <v>-6119.9362993928517</v>
      </c>
      <c r="AR142" s="4"/>
      <c r="AS142" s="4"/>
      <c r="AT142" s="4"/>
      <c r="AU142" s="5"/>
      <c r="BS142" s="135">
        <v>13.8</v>
      </c>
      <c r="BT142" s="136">
        <v>2506.2954115656416</v>
      </c>
    </row>
    <row r="143" spans="1:72" ht="16.5">
      <c r="A143" s="12"/>
      <c r="W143" s="153">
        <f t="shared" si="37"/>
        <v>40725</v>
      </c>
      <c r="X143" s="154">
        <v>7</v>
      </c>
      <c r="Y143" s="155">
        <v>44.8</v>
      </c>
      <c r="Z143" s="156">
        <f t="shared" si="36"/>
        <v>75853.936498457246</v>
      </c>
      <c r="AA143" s="157">
        <f t="shared" si="38"/>
        <v>-15167.761520852</v>
      </c>
      <c r="AR143" s="4"/>
      <c r="AS143" s="4"/>
      <c r="AT143" s="4"/>
      <c r="AU143" s="5"/>
      <c r="BS143" s="135">
        <v>13.9</v>
      </c>
      <c r="BT143" s="136">
        <v>2562.4813377127498</v>
      </c>
    </row>
    <row r="144" spans="1:72" ht="16.5">
      <c r="A144" s="12"/>
      <c r="W144" s="153">
        <f t="shared" si="37"/>
        <v>40756</v>
      </c>
      <c r="X144" s="154">
        <v>8</v>
      </c>
      <c r="Y144" s="155">
        <v>42.2</v>
      </c>
      <c r="Z144" s="156">
        <f t="shared" si="36"/>
        <v>64330.621080919671</v>
      </c>
      <c r="AA144" s="157">
        <f t="shared" si="38"/>
        <v>-11523.315417537575</v>
      </c>
      <c r="AR144" s="4"/>
      <c r="AS144" s="4"/>
      <c r="AT144" s="4"/>
      <c r="AU144" s="5"/>
      <c r="BS144" s="135">
        <v>14</v>
      </c>
      <c r="BT144" s="136">
        <v>2619.3142231511897</v>
      </c>
    </row>
    <row r="145" spans="1:72" ht="16.5">
      <c r="A145" s="12"/>
      <c r="W145" s="153">
        <f t="shared" si="37"/>
        <v>40787</v>
      </c>
      <c r="X145" s="154">
        <v>9</v>
      </c>
      <c r="Y145" s="155">
        <v>40.4</v>
      </c>
      <c r="Z145" s="156">
        <f t="shared" si="36"/>
        <v>56901.413357221063</v>
      </c>
      <c r="AA145" s="157">
        <f t="shared" si="38"/>
        <v>-7429.2077236986079</v>
      </c>
      <c r="AR145" s="4"/>
      <c r="AS145" s="4"/>
      <c r="AT145" s="4"/>
      <c r="AU145" s="5"/>
      <c r="BS145" s="135">
        <v>14.1</v>
      </c>
      <c r="BT145" s="136">
        <v>2676.8189509306262</v>
      </c>
    </row>
    <row r="146" spans="1:72" ht="16.5">
      <c r="A146" s="12"/>
      <c r="W146" s="153">
        <f t="shared" si="37"/>
        <v>40817</v>
      </c>
      <c r="X146" s="154">
        <v>10</v>
      </c>
      <c r="Y146" s="155">
        <v>41.2</v>
      </c>
      <c r="Z146" s="156">
        <f t="shared" si="36"/>
        <v>60112.123021797546</v>
      </c>
      <c r="AA146" s="157">
        <f t="shared" si="38"/>
        <v>3210.7096645764832</v>
      </c>
      <c r="AR146" s="4"/>
      <c r="AS146" s="4"/>
      <c r="AT146" s="4"/>
      <c r="AU146" s="5"/>
      <c r="BS146" s="135">
        <v>14.2</v>
      </c>
      <c r="BT146" s="136">
        <v>2734.9955210510602</v>
      </c>
    </row>
    <row r="147" spans="1:72" ht="16.5">
      <c r="A147" s="12"/>
      <c r="W147" s="153">
        <f t="shared" si="37"/>
        <v>40848</v>
      </c>
      <c r="X147" s="154">
        <v>11</v>
      </c>
      <c r="Y147" s="155">
        <v>41.8</v>
      </c>
      <c r="Z147" s="156">
        <f t="shared" si="36"/>
        <v>62623.27062804818</v>
      </c>
      <c r="AA147" s="157">
        <f t="shared" si="38"/>
        <v>2511.1476062506335</v>
      </c>
      <c r="AR147" s="4"/>
      <c r="AS147" s="4"/>
      <c r="AT147" s="4"/>
      <c r="AU147" s="5"/>
      <c r="BS147" s="135">
        <v>14.3</v>
      </c>
      <c r="BT147" s="136">
        <v>2793.8190504628246</v>
      </c>
    </row>
    <row r="148" spans="1:72" ht="16.5">
      <c r="A148" s="12"/>
      <c r="W148" s="153">
        <f t="shared" si="37"/>
        <v>40878</v>
      </c>
      <c r="X148" s="154">
        <v>12</v>
      </c>
      <c r="Y148" s="155">
        <v>43.3</v>
      </c>
      <c r="Z148" s="156">
        <f t="shared" si="36"/>
        <v>69132.402707275804</v>
      </c>
      <c r="AA148" s="157">
        <f t="shared" si="38"/>
        <v>6509.1320792276238</v>
      </c>
      <c r="AR148" s="4"/>
      <c r="AS148" s="4"/>
      <c r="AT148" s="4"/>
      <c r="AU148" s="5"/>
      <c r="BS148" s="135">
        <v>14.4</v>
      </c>
      <c r="BT148" s="136">
        <v>2853.3890713645865</v>
      </c>
    </row>
    <row r="149" spans="1:72" ht="16.5">
      <c r="A149" s="12"/>
      <c r="W149" s="153">
        <f t="shared" si="37"/>
        <v>40909</v>
      </c>
      <c r="X149" s="154">
        <v>1</v>
      </c>
      <c r="Y149" s="155">
        <v>45.2</v>
      </c>
      <c r="Z149" s="156">
        <f t="shared" si="36"/>
        <v>77666.766198865327</v>
      </c>
      <c r="AA149" s="157">
        <f t="shared" si="38"/>
        <v>8534.3634915895236</v>
      </c>
      <c r="AR149" s="4"/>
      <c r="AS149" s="4"/>
      <c r="AT149" s="4"/>
      <c r="AU149" s="5"/>
      <c r="BS149" s="135">
        <v>14.5</v>
      </c>
      <c r="BT149" s="136">
        <v>2913.7055837563453</v>
      </c>
    </row>
    <row r="150" spans="1:72" ht="16.5">
      <c r="A150" s="12"/>
      <c r="W150" s="153">
        <f t="shared" si="37"/>
        <v>40940</v>
      </c>
      <c r="X150" s="154">
        <v>2</v>
      </c>
      <c r="Y150" s="155">
        <v>45.9</v>
      </c>
      <c r="Z150" s="156">
        <f t="shared" si="36"/>
        <v>80856.250622076244</v>
      </c>
      <c r="AA150" s="157">
        <f t="shared" si="38"/>
        <v>3189.4844232109172</v>
      </c>
      <c r="AR150" s="4"/>
      <c r="AS150" s="4"/>
      <c r="AT150" s="4"/>
      <c r="AU150" s="5"/>
      <c r="BS150" s="135">
        <v>14.6</v>
      </c>
      <c r="BT150" s="136">
        <v>2974.8183537374339</v>
      </c>
    </row>
    <row r="151" spans="1:72" ht="16.5">
      <c r="A151" s="12"/>
      <c r="W151" s="153">
        <f t="shared" si="37"/>
        <v>40969</v>
      </c>
      <c r="X151" s="159">
        <v>3</v>
      </c>
      <c r="Y151" s="155">
        <v>46</v>
      </c>
      <c r="Z151" s="156">
        <f t="shared" si="36"/>
        <v>81313.501542749073</v>
      </c>
      <c r="AA151" s="157">
        <f t="shared" si="38"/>
        <v>457.25092067282822</v>
      </c>
      <c r="AR151" s="4"/>
      <c r="AS151" s="4"/>
      <c r="AT151" s="4"/>
      <c r="AU151" s="5"/>
      <c r="BS151" s="135">
        <v>14.7</v>
      </c>
      <c r="BT151" s="136">
        <v>3036.7273813078532</v>
      </c>
    </row>
    <row r="152" spans="1:72" ht="16.5">
      <c r="A152" s="12"/>
      <c r="W152" s="153">
        <f t="shared" si="37"/>
        <v>41000</v>
      </c>
      <c r="X152" s="154">
        <v>4</v>
      </c>
      <c r="Y152" s="155">
        <v>46.8</v>
      </c>
      <c r="Z152" s="156">
        <f t="shared" si="36"/>
        <v>84988.304966656709</v>
      </c>
      <c r="AA152" s="157">
        <f t="shared" si="38"/>
        <v>3674.8034239076369</v>
      </c>
      <c r="AR152" s="4"/>
      <c r="AS152" s="4"/>
      <c r="AT152" s="4"/>
      <c r="AU152" s="5"/>
      <c r="BS152" s="135">
        <v>14.8</v>
      </c>
      <c r="BT152" s="136">
        <v>3099.3580173186024</v>
      </c>
    </row>
    <row r="153" spans="1:72" ht="16.5">
      <c r="A153" s="12"/>
      <c r="W153" s="153">
        <f t="shared" si="37"/>
        <v>41030</v>
      </c>
      <c r="X153" s="154">
        <v>5</v>
      </c>
      <c r="Y153" s="155">
        <v>45.5</v>
      </c>
      <c r="Z153" s="156">
        <f t="shared" si="36"/>
        <v>79030.979396834882</v>
      </c>
      <c r="AA153" s="157">
        <f t="shared" si="38"/>
        <v>-5957.3255698218272</v>
      </c>
      <c r="AR153" s="4"/>
      <c r="AS153" s="4"/>
      <c r="AT153" s="4"/>
      <c r="AU153" s="5"/>
      <c r="BS153" s="135">
        <v>14.9</v>
      </c>
      <c r="BT153" s="136">
        <v>3162.7849109186818</v>
      </c>
    </row>
    <row r="154" spans="1:72" ht="16.5">
      <c r="A154" s="12"/>
      <c r="W154" s="153">
        <f t="shared" si="37"/>
        <v>41061</v>
      </c>
      <c r="X154" s="154">
        <v>6</v>
      </c>
      <c r="Y154" s="155">
        <v>45.4</v>
      </c>
      <c r="Z154" s="156">
        <f t="shared" si="36"/>
        <v>78575.89330148304</v>
      </c>
      <c r="AA154" s="157">
        <f t="shared" si="38"/>
        <v>-455.08609535184223</v>
      </c>
      <c r="AR154" s="4"/>
      <c r="AS154" s="4"/>
      <c r="AT154" s="4"/>
      <c r="AU154" s="5"/>
      <c r="BS154" s="135">
        <v>15</v>
      </c>
      <c r="BT154" s="136">
        <v>3226.9334129590916</v>
      </c>
    </row>
    <row r="155" spans="1:72" ht="16.5">
      <c r="A155" s="12"/>
      <c r="W155" s="153">
        <f t="shared" si="37"/>
        <v>41091</v>
      </c>
      <c r="X155" s="154">
        <v>7</v>
      </c>
      <c r="Y155" s="155">
        <v>44.7</v>
      </c>
      <c r="Z155" s="156">
        <f t="shared" si="36"/>
        <v>75401.985667363391</v>
      </c>
      <c r="AA155" s="157">
        <f t="shared" si="38"/>
        <v>-3173.9076341196487</v>
      </c>
      <c r="AR155" s="4"/>
      <c r="AS155" s="4"/>
      <c r="AT155" s="4"/>
      <c r="AU155" s="5"/>
      <c r="BS155" s="135">
        <v>15.1</v>
      </c>
      <c r="BT155" s="136">
        <v>3291.952821737832</v>
      </c>
    </row>
    <row r="156" spans="1:72" ht="16.5">
      <c r="A156" s="12"/>
      <c r="W156" s="153">
        <f t="shared" si="37"/>
        <v>41122</v>
      </c>
      <c r="X156" s="154">
        <v>8</v>
      </c>
      <c r="Y156" s="155">
        <v>43.2</v>
      </c>
      <c r="Z156" s="156">
        <f t="shared" si="36"/>
        <v>68690.156265551908</v>
      </c>
      <c r="AA156" s="157">
        <f t="shared" si="38"/>
        <v>-6711.829401811483</v>
      </c>
      <c r="AR156" s="4"/>
      <c r="AS156" s="4"/>
      <c r="AT156" s="4"/>
      <c r="AU156" s="5"/>
      <c r="BS156" s="135">
        <v>15.2</v>
      </c>
      <c r="BT156" s="136">
        <v>3357.9924355529015</v>
      </c>
    </row>
    <row r="157" spans="1:72" ht="16.5">
      <c r="A157" s="12"/>
      <c r="W157" s="153">
        <f t="shared" si="37"/>
        <v>41153</v>
      </c>
      <c r="X157" s="154">
        <v>9</v>
      </c>
      <c r="Y157" s="155">
        <v>43.7</v>
      </c>
      <c r="Z157" s="156">
        <f t="shared" si="36"/>
        <v>70910.570319498351</v>
      </c>
      <c r="AA157" s="157">
        <f t="shared" si="38"/>
        <v>2220.4140539464424</v>
      </c>
      <c r="AR157" s="4"/>
      <c r="AS157" s="4"/>
      <c r="AT157" s="4"/>
      <c r="AU157" s="5"/>
      <c r="BS157" s="135">
        <v>15.3</v>
      </c>
      <c r="BT157" s="136">
        <v>3424.8531900069679</v>
      </c>
    </row>
    <row r="158" spans="1:72" ht="16.5">
      <c r="A158" s="12"/>
      <c r="W158" s="153">
        <f t="shared" si="37"/>
        <v>41183</v>
      </c>
      <c r="X158" s="154">
        <v>10</v>
      </c>
      <c r="Y158" s="155">
        <v>43.9</v>
      </c>
      <c r="Z158" s="156">
        <f t="shared" si="36"/>
        <v>71804.120633024781</v>
      </c>
      <c r="AA158" s="157">
        <f t="shared" si="38"/>
        <v>893.55031352642982</v>
      </c>
      <c r="AR158" s="4"/>
      <c r="AS158" s="4"/>
      <c r="AT158" s="4"/>
      <c r="AU158" s="5"/>
      <c r="BS158" s="135">
        <v>15.4</v>
      </c>
      <c r="BT158" s="136">
        <v>3492.6097342490298</v>
      </c>
    </row>
    <row r="159" spans="1:72" ht="16.5">
      <c r="A159" s="12"/>
      <c r="W159" s="153">
        <f t="shared" si="37"/>
        <v>41214</v>
      </c>
      <c r="X159" s="154">
        <v>11</v>
      </c>
      <c r="Y159" s="155">
        <v>43.7</v>
      </c>
      <c r="Z159" s="156">
        <f t="shared" si="36"/>
        <v>70910.570319498351</v>
      </c>
      <c r="AA159" s="157">
        <f t="shared" si="38"/>
        <v>-893.55031352642982</v>
      </c>
      <c r="AR159" s="4"/>
      <c r="AS159" s="4"/>
      <c r="AT159" s="4"/>
      <c r="AU159" s="5"/>
      <c r="BS159" s="135">
        <v>15.5</v>
      </c>
      <c r="BT159" s="136">
        <v>3561.1625360804219</v>
      </c>
    </row>
    <row r="160" spans="1:72" ht="16.5">
      <c r="A160" s="12"/>
      <c r="W160" s="153">
        <f t="shared" si="37"/>
        <v>41244</v>
      </c>
      <c r="X160" s="154">
        <v>12</v>
      </c>
      <c r="Y160" s="155">
        <v>42.4</v>
      </c>
      <c r="Z160" s="156">
        <f t="shared" si="36"/>
        <v>65192.843634915895</v>
      </c>
      <c r="AA160" s="157">
        <f t="shared" si="38"/>
        <v>-5717.7266845824561</v>
      </c>
      <c r="AR160" s="4"/>
      <c r="AS160" s="4"/>
      <c r="AT160" s="4"/>
      <c r="AU160" s="5"/>
      <c r="BS160" s="135">
        <v>15.6</v>
      </c>
      <c r="BT160" s="136">
        <v>3630.5364785508109</v>
      </c>
    </row>
    <row r="161" spans="1:72" ht="16.5">
      <c r="A161" s="12"/>
      <c r="W161" s="153">
        <f t="shared" si="37"/>
        <v>41275</v>
      </c>
      <c r="X161" s="154">
        <v>1</v>
      </c>
      <c r="Y161" s="155">
        <v>43.7</v>
      </c>
      <c r="Z161" s="156">
        <f t="shared" si="36"/>
        <v>70910.570319498351</v>
      </c>
      <c r="AA161" s="157">
        <f t="shared" si="38"/>
        <v>5717.7266845824561</v>
      </c>
      <c r="AR161" s="4"/>
      <c r="AS161" s="4"/>
      <c r="AT161" s="4"/>
      <c r="AU161" s="5"/>
      <c r="BS161" s="135">
        <v>15.7</v>
      </c>
      <c r="BT161" s="136">
        <v>3700.7813277595301</v>
      </c>
    </row>
    <row r="162" spans="1:72" ht="16.5">
      <c r="A162" s="12"/>
      <c r="W162" s="153">
        <f t="shared" si="37"/>
        <v>41306</v>
      </c>
      <c r="X162" s="154">
        <v>2</v>
      </c>
      <c r="Y162" s="155">
        <v>45.2</v>
      </c>
      <c r="Z162" s="156">
        <f t="shared" si="36"/>
        <v>77666.766198865327</v>
      </c>
      <c r="AA162" s="157">
        <f t="shared" si="38"/>
        <v>6756.1958793669764</v>
      </c>
      <c r="AR162" s="4"/>
      <c r="AS162" s="4"/>
      <c r="AT162" s="4"/>
      <c r="AU162" s="5"/>
      <c r="BS162" s="135">
        <v>15.8</v>
      </c>
      <c r="BT162" s="136">
        <v>3771.7477854085796</v>
      </c>
    </row>
    <row r="163" spans="1:72" ht="16.5">
      <c r="A163" s="12"/>
      <c r="W163" s="153">
        <f t="shared" si="37"/>
        <v>41334</v>
      </c>
      <c r="X163" s="154">
        <v>3</v>
      </c>
      <c r="Y163" s="155">
        <v>44.1</v>
      </c>
      <c r="Z163" s="156">
        <f t="shared" si="36"/>
        <v>72700.034836269537</v>
      </c>
      <c r="AA163" s="157">
        <f t="shared" si="38"/>
        <v>-4966.7313625957904</v>
      </c>
      <c r="AR163" s="4"/>
      <c r="AS163" s="4"/>
      <c r="AT163" s="4"/>
      <c r="AU163" s="5"/>
      <c r="BS163" s="135">
        <v>15.9</v>
      </c>
      <c r="BT163" s="136">
        <v>3843.5105006469594</v>
      </c>
    </row>
    <row r="164" spans="1:72" ht="16.5">
      <c r="A164" s="12"/>
      <c r="W164" s="153">
        <f t="shared" si="37"/>
        <v>41365</v>
      </c>
      <c r="X164" s="154">
        <v>4</v>
      </c>
      <c r="Y164" s="155">
        <v>47.2</v>
      </c>
      <c r="Z164" s="156">
        <f t="shared" si="36"/>
        <v>86836.418831491988</v>
      </c>
      <c r="AA164" s="157">
        <f t="shared" si="38"/>
        <v>14136.383995222452</v>
      </c>
      <c r="AR164" s="4"/>
      <c r="AS164" s="4"/>
      <c r="AT164" s="4"/>
      <c r="AU164" s="5"/>
      <c r="BS164" s="135">
        <v>16</v>
      </c>
      <c r="BT164" s="136">
        <v>3915.9699412760028</v>
      </c>
    </row>
    <row r="165" spans="1:72" ht="16.5">
      <c r="A165" s="12"/>
      <c r="W165" s="153">
        <f t="shared" si="37"/>
        <v>41395</v>
      </c>
      <c r="X165" s="154">
        <v>5</v>
      </c>
      <c r="Y165" s="155">
        <v>49.4</v>
      </c>
      <c r="Z165" s="156">
        <f t="shared" ref="Z165:Z196" si="39">VLOOKUP(Y165,$BS$4:$BT$1905,2)</f>
        <v>97141.634318702098</v>
      </c>
      <c r="AA165" s="157">
        <f t="shared" si="38"/>
        <v>10305.215487210109</v>
      </c>
      <c r="AR165" s="4"/>
      <c r="AS165" s="4"/>
      <c r="AT165" s="4"/>
      <c r="AU165" s="5"/>
      <c r="BS165" s="135">
        <v>16.100000000000001</v>
      </c>
      <c r="BT165" s="136">
        <v>3989.1261072957104</v>
      </c>
    </row>
    <row r="166" spans="1:72" ht="16.5">
      <c r="A166" s="12"/>
      <c r="W166" s="153">
        <f t="shared" si="37"/>
        <v>41426</v>
      </c>
      <c r="X166" s="154">
        <v>6</v>
      </c>
      <c r="Y166" s="155">
        <v>50</v>
      </c>
      <c r="Z166" s="156">
        <f t="shared" si="39"/>
        <v>100000</v>
      </c>
      <c r="AA166" s="157">
        <f t="shared" si="38"/>
        <v>2858.3656812979025</v>
      </c>
      <c r="AR166" s="4"/>
      <c r="AS166" s="4"/>
      <c r="AT166" s="4"/>
      <c r="AU166" s="5"/>
      <c r="BS166" s="135">
        <v>16.2</v>
      </c>
      <c r="BT166" s="136">
        <v>4063.0785309047469</v>
      </c>
    </row>
    <row r="167" spans="1:72" ht="16.5">
      <c r="A167" s="12"/>
      <c r="W167" s="153">
        <f t="shared" si="37"/>
        <v>41456</v>
      </c>
      <c r="X167" s="154">
        <v>7</v>
      </c>
      <c r="Y167" s="155">
        <v>47.5</v>
      </c>
      <c r="Z167" s="156">
        <f t="shared" si="39"/>
        <v>88227.207126505426</v>
      </c>
      <c r="AA167" s="157">
        <f t="shared" si="38"/>
        <v>-11772.792873494574</v>
      </c>
      <c r="AR167" s="4"/>
      <c r="AS167" s="4"/>
      <c r="AT167" s="4"/>
      <c r="AU167" s="5"/>
      <c r="BS167" s="135">
        <v>16.3</v>
      </c>
      <c r="BT167" s="136">
        <v>4137.6779138051161</v>
      </c>
    </row>
    <row r="168" spans="1:72" ht="16.5">
      <c r="A168" s="12"/>
      <c r="W168" s="153">
        <f t="shared" si="37"/>
        <v>41487</v>
      </c>
      <c r="X168" s="154">
        <v>8</v>
      </c>
      <c r="Y168" s="155">
        <v>44.1</v>
      </c>
      <c r="Z168" s="156">
        <f t="shared" si="39"/>
        <v>72700.034836269537</v>
      </c>
      <c r="AA168" s="157">
        <f t="shared" si="38"/>
        <v>-15527.172290235889</v>
      </c>
      <c r="AR168" s="4"/>
      <c r="AS168" s="4"/>
      <c r="AT168" s="4"/>
      <c r="AU168" s="5"/>
      <c r="BS168" s="135">
        <v>16.399999999999999</v>
      </c>
      <c r="BT168" s="136">
        <v>4213.0237881954818</v>
      </c>
    </row>
    <row r="169" spans="1:72" ht="16.5">
      <c r="A169" s="12"/>
      <c r="W169" s="153">
        <f t="shared" si="37"/>
        <v>41518</v>
      </c>
      <c r="X169" s="154">
        <v>9</v>
      </c>
      <c r="Y169" s="155">
        <v>42.7</v>
      </c>
      <c r="Z169" s="156">
        <f t="shared" si="39"/>
        <v>66495.073156166021</v>
      </c>
      <c r="AA169" s="157">
        <f t="shared" si="38"/>
        <v>-6204.9616801035154</v>
      </c>
      <c r="AR169" s="4"/>
      <c r="AS169" s="4"/>
      <c r="AT169" s="4"/>
      <c r="AU169" s="5"/>
      <c r="BS169" s="135">
        <v>16.5</v>
      </c>
      <c r="BT169" s="136">
        <v>4289.0166218771774</v>
      </c>
    </row>
    <row r="170" spans="1:72" ht="16.5">
      <c r="A170" s="12"/>
      <c r="W170" s="153">
        <f t="shared" si="37"/>
        <v>41548</v>
      </c>
      <c r="X170" s="154">
        <v>10</v>
      </c>
      <c r="Y170" s="155">
        <v>45.3</v>
      </c>
      <c r="Z170" s="156">
        <f t="shared" si="39"/>
        <v>78120.981387478852</v>
      </c>
      <c r="AA170" s="157">
        <f t="shared" si="38"/>
        <v>11625.908231312831</v>
      </c>
      <c r="AR170" s="4"/>
      <c r="AS170" s="4"/>
      <c r="AT170" s="4"/>
      <c r="AU170" s="5"/>
      <c r="BS170" s="135">
        <v>16.600000000000001</v>
      </c>
      <c r="BT170" s="136">
        <v>4365.6812978998705</v>
      </c>
    </row>
    <row r="171" spans="1:72" ht="16.5">
      <c r="A171" s="12"/>
      <c r="W171" s="153">
        <f t="shared" si="37"/>
        <v>41579</v>
      </c>
      <c r="X171" s="154">
        <v>11</v>
      </c>
      <c r="Y171" s="155">
        <v>45</v>
      </c>
      <c r="Z171" s="156">
        <f t="shared" si="39"/>
        <v>76759.430675823634</v>
      </c>
      <c r="AA171" s="157">
        <f t="shared" si="38"/>
        <v>-1361.550711655218</v>
      </c>
      <c r="AR171" s="4"/>
      <c r="AS171" s="4"/>
      <c r="AT171" s="4"/>
      <c r="AU171" s="5"/>
      <c r="BS171" s="135">
        <v>16.7</v>
      </c>
      <c r="BT171" s="136">
        <v>4443.0426993132278</v>
      </c>
    </row>
    <row r="172" spans="1:72" ht="16.5">
      <c r="A172" s="12"/>
      <c r="W172" s="153">
        <f t="shared" si="37"/>
        <v>41609</v>
      </c>
      <c r="X172" s="154">
        <v>12</v>
      </c>
      <c r="Y172" s="155">
        <v>44.2</v>
      </c>
      <c r="Z172" s="156">
        <f t="shared" si="39"/>
        <v>73149.173882751056</v>
      </c>
      <c r="AA172" s="157">
        <f t="shared" si="38"/>
        <v>-3610.2567930725781</v>
      </c>
      <c r="AR172" s="4"/>
      <c r="AS172" s="4"/>
      <c r="AT172" s="4"/>
      <c r="AU172" s="5"/>
      <c r="BS172" s="135">
        <v>16.8</v>
      </c>
      <c r="BT172" s="136">
        <v>4521.0510600179159</v>
      </c>
    </row>
    <row r="173" spans="1:72" ht="16.5">
      <c r="A173" s="12"/>
      <c r="W173" s="153">
        <f t="shared" si="37"/>
        <v>41640</v>
      </c>
      <c r="X173" s="154">
        <v>1</v>
      </c>
      <c r="Y173" s="155">
        <v>43.3</v>
      </c>
      <c r="Z173" s="156">
        <f t="shared" si="39"/>
        <v>69132.402707275804</v>
      </c>
      <c r="AA173" s="157">
        <f t="shared" si="38"/>
        <v>-4016.7711754752527</v>
      </c>
      <c r="AR173" s="4"/>
      <c r="AS173" s="4"/>
      <c r="AT173" s="4"/>
      <c r="AU173" s="5"/>
      <c r="BS173" s="135">
        <v>16.899999999999999</v>
      </c>
      <c r="BT173" s="136">
        <v>4599.7810291629339</v>
      </c>
    </row>
    <row r="174" spans="1:72" ht="16.5">
      <c r="A174" s="12"/>
      <c r="W174" s="153">
        <f t="shared" si="37"/>
        <v>41671</v>
      </c>
      <c r="X174" s="154">
        <v>2</v>
      </c>
      <c r="Y174" s="155">
        <v>44</v>
      </c>
      <c r="Z174" s="156">
        <f t="shared" si="39"/>
        <v>72251.766696526334</v>
      </c>
      <c r="AA174" s="157">
        <f t="shared" si="38"/>
        <v>3119.3639892505307</v>
      </c>
      <c r="AR174" s="4"/>
      <c r="AS174" s="4"/>
      <c r="AT174" s="4"/>
      <c r="AU174" s="5"/>
      <c r="BS174" s="135">
        <v>17</v>
      </c>
      <c r="BT174" s="136">
        <v>4679.1828406489503</v>
      </c>
    </row>
    <row r="175" spans="1:72">
      <c r="A175" s="12"/>
      <c r="W175" s="153">
        <f t="shared" si="37"/>
        <v>41699</v>
      </c>
      <c r="X175" s="154">
        <f>MONTH(W175)</f>
        <v>3</v>
      </c>
      <c r="Y175" s="155">
        <v>46.8</v>
      </c>
      <c r="Z175" s="156">
        <f t="shared" si="39"/>
        <v>84988.304966656709</v>
      </c>
      <c r="AA175" s="157">
        <f t="shared" si="38"/>
        <v>12736.538270130375</v>
      </c>
      <c r="AR175" s="78"/>
      <c r="AS175" s="78"/>
      <c r="AT175" s="78"/>
      <c r="BS175" s="135">
        <v>17.100000000000001</v>
      </c>
      <c r="BT175" s="136">
        <v>4759.2813775256291</v>
      </c>
    </row>
    <row r="176" spans="1:72">
      <c r="W176" s="153">
        <f t="shared" si="37"/>
        <v>41730</v>
      </c>
      <c r="X176" s="154">
        <f t="shared" ref="X176:X191" si="40">MONTH(W176)</f>
        <v>4</v>
      </c>
      <c r="Y176" s="155">
        <v>46.6</v>
      </c>
      <c r="Z176" s="156">
        <f t="shared" si="39"/>
        <v>84066.885637503743</v>
      </c>
      <c r="AA176" s="157">
        <f t="shared" si="38"/>
        <v>-921.41932915296638</v>
      </c>
      <c r="AR176" s="79"/>
      <c r="AS176" s="79"/>
      <c r="AT176" s="79"/>
      <c r="BS176" s="135">
        <v>17.2</v>
      </c>
      <c r="BT176" s="136">
        <v>4840.126405892307</v>
      </c>
    </row>
    <row r="177" spans="22:72" ht="16.5">
      <c r="W177" s="153">
        <f t="shared" si="37"/>
        <v>41760</v>
      </c>
      <c r="X177" s="154">
        <f t="shared" si="40"/>
        <v>5</v>
      </c>
      <c r="Y177" s="155">
        <v>49.7</v>
      </c>
      <c r="Z177" s="156">
        <f t="shared" si="39"/>
        <v>98567.955608639386</v>
      </c>
      <c r="AA177" s="157">
        <f t="shared" si="38"/>
        <v>14501.069971135643</v>
      </c>
      <c r="AR177" s="80"/>
      <c r="AS177" s="80"/>
      <c r="AT177" s="80"/>
      <c r="BS177" s="135">
        <v>17.3</v>
      </c>
      <c r="BT177" s="136">
        <v>4921.6183935503141</v>
      </c>
    </row>
    <row r="178" spans="22:72" ht="16.5">
      <c r="W178" s="153">
        <f t="shared" si="37"/>
        <v>41791</v>
      </c>
      <c r="X178" s="154">
        <f t="shared" si="40"/>
        <v>6</v>
      </c>
      <c r="Y178" s="155">
        <v>50.5</v>
      </c>
      <c r="Z178" s="156">
        <f t="shared" si="39"/>
        <v>100000</v>
      </c>
      <c r="AA178" s="157">
        <f t="shared" si="38"/>
        <v>1432.0443913606141</v>
      </c>
      <c r="AR178" s="80"/>
      <c r="AS178" s="80"/>
      <c r="AT178" s="80"/>
      <c r="BS178" s="135">
        <v>17.399999999999999</v>
      </c>
      <c r="BT178" s="136">
        <v>5003.9564048969842</v>
      </c>
    </row>
    <row r="179" spans="22:72" ht="16.5">
      <c r="W179" s="153">
        <f t="shared" si="37"/>
        <v>41821</v>
      </c>
      <c r="X179" s="154">
        <f t="shared" si="40"/>
        <v>7</v>
      </c>
      <c r="Y179" s="155">
        <v>48.8</v>
      </c>
      <c r="Z179" s="156">
        <f t="shared" si="39"/>
        <v>94305.265253309452</v>
      </c>
      <c r="AA179" s="157">
        <f t="shared" si="38"/>
        <v>-5694.7347466905485</v>
      </c>
      <c r="AR179" s="80"/>
      <c r="AS179" s="80"/>
      <c r="AT179" s="80"/>
      <c r="BS179" s="135">
        <v>17.5</v>
      </c>
      <c r="BT179" s="136">
        <v>5086.9662585846518</v>
      </c>
    </row>
    <row r="180" spans="22:72" ht="16.5">
      <c r="V180" s="81"/>
      <c r="W180" s="153">
        <f t="shared" si="37"/>
        <v>41852</v>
      </c>
      <c r="X180" s="154">
        <f t="shared" si="40"/>
        <v>8</v>
      </c>
      <c r="Y180" s="155">
        <v>45.6</v>
      </c>
      <c r="Z180" s="156">
        <f t="shared" si="39"/>
        <v>79486.513387080733</v>
      </c>
      <c r="AA180" s="157">
        <f t="shared" si="38"/>
        <v>-14818.751866228718</v>
      </c>
      <c r="AR180" s="80"/>
      <c r="AS180" s="80"/>
      <c r="AT180" s="80"/>
      <c r="BS180" s="135">
        <v>17.600000000000001</v>
      </c>
      <c r="BT180" s="136">
        <v>5170.7226037623177</v>
      </c>
    </row>
    <row r="181" spans="22:72" ht="16.5">
      <c r="W181" s="153">
        <f t="shared" si="37"/>
        <v>41883</v>
      </c>
      <c r="X181" s="154">
        <f t="shared" si="40"/>
        <v>9</v>
      </c>
      <c r="Y181" s="155">
        <v>44.4</v>
      </c>
      <c r="Z181" s="156">
        <f t="shared" si="39"/>
        <v>74048.845426495463</v>
      </c>
      <c r="AA181" s="157">
        <f t="shared" si="38"/>
        <v>-5437.6679605852696</v>
      </c>
      <c r="AR181" s="80"/>
      <c r="AS181" s="80"/>
      <c r="AT181" s="80"/>
      <c r="BS181" s="135">
        <v>17.7</v>
      </c>
      <c r="BT181" s="136">
        <v>5255.3249726286458</v>
      </c>
    </row>
    <row r="182" spans="22:72" ht="16.5">
      <c r="W182" s="153">
        <f t="shared" si="37"/>
        <v>41913</v>
      </c>
      <c r="X182" s="154">
        <f t="shared" si="40"/>
        <v>10</v>
      </c>
      <c r="Y182" s="155">
        <v>41.7</v>
      </c>
      <c r="Z182" s="156">
        <f t="shared" si="39"/>
        <v>62200.582263362194</v>
      </c>
      <c r="AA182" s="157">
        <f t="shared" si="38"/>
        <v>-11848.26316313327</v>
      </c>
      <c r="AR182" s="80"/>
      <c r="AS182" s="80"/>
      <c r="AT182" s="80"/>
      <c r="BS182" s="135">
        <v>17.8</v>
      </c>
      <c r="BT182" s="136">
        <v>5340.7235990843037</v>
      </c>
    </row>
    <row r="183" spans="22:72" ht="16.5">
      <c r="W183" s="153">
        <f t="shared" si="37"/>
        <v>41944</v>
      </c>
      <c r="X183" s="154">
        <f t="shared" si="40"/>
        <v>11</v>
      </c>
      <c r="Y183" s="155">
        <v>41</v>
      </c>
      <c r="Z183" s="156">
        <f t="shared" si="39"/>
        <v>59293.296506419822</v>
      </c>
      <c r="AA183" s="157">
        <f t="shared" si="38"/>
        <v>-2907.2857569423722</v>
      </c>
      <c r="AR183" s="80"/>
      <c r="AS183" s="80"/>
      <c r="AT183" s="80"/>
      <c r="BS183" s="135">
        <v>17.899999999999999</v>
      </c>
      <c r="BT183" s="136">
        <v>5427.0677814272922</v>
      </c>
    </row>
    <row r="184" spans="22:72" ht="16.5">
      <c r="W184" s="153">
        <f t="shared" si="37"/>
        <v>41974</v>
      </c>
      <c r="X184" s="154">
        <f t="shared" si="40"/>
        <v>12</v>
      </c>
      <c r="Y184" s="155">
        <v>39</v>
      </c>
      <c r="Z184" s="156">
        <f t="shared" si="39"/>
        <v>51592.888424405304</v>
      </c>
      <c r="AA184" s="157">
        <f t="shared" si="38"/>
        <v>-7700.4080820145173</v>
      </c>
      <c r="AR184" s="80"/>
      <c r="AS184" s="80"/>
      <c r="AT184" s="80"/>
      <c r="BS184" s="135">
        <v>18</v>
      </c>
      <c r="BT184" s="136">
        <v>5514.2331044092762</v>
      </c>
    </row>
    <row r="185" spans="22:72" ht="16.5">
      <c r="W185" s="153">
        <f t="shared" si="37"/>
        <v>42005</v>
      </c>
      <c r="X185" s="154">
        <f t="shared" si="40"/>
        <v>1</v>
      </c>
      <c r="Y185" s="155">
        <v>43</v>
      </c>
      <c r="Z185" s="156">
        <f t="shared" si="39"/>
        <v>67808.524932815766</v>
      </c>
      <c r="AA185" s="157">
        <f t="shared" si="38"/>
        <v>16215.636508410462</v>
      </c>
      <c r="AR185" s="80"/>
      <c r="AS185" s="80"/>
      <c r="AT185" s="80"/>
      <c r="BS185" s="135">
        <v>18.100000000000001</v>
      </c>
      <c r="BT185" s="136">
        <v>5602.3439832785907</v>
      </c>
    </row>
    <row r="186" spans="22:72" ht="16.5">
      <c r="W186" s="153">
        <f t="shared" si="37"/>
        <v>42036</v>
      </c>
      <c r="X186" s="154">
        <f t="shared" si="40"/>
        <v>2</v>
      </c>
      <c r="Y186" s="155">
        <v>45.3</v>
      </c>
      <c r="Z186" s="156">
        <f t="shared" si="39"/>
        <v>78120.981387478852</v>
      </c>
      <c r="AA186" s="157">
        <f t="shared" si="38"/>
        <v>10312.456454663086</v>
      </c>
      <c r="AR186" s="80"/>
      <c r="AS186" s="80"/>
      <c r="AT186" s="80"/>
      <c r="BS186" s="135">
        <v>18.2</v>
      </c>
      <c r="BT186" s="136">
        <v>5691.4501841345682</v>
      </c>
    </row>
    <row r="187" spans="22:72" ht="16.5">
      <c r="W187" s="153">
        <f t="shared" si="37"/>
        <v>42064</v>
      </c>
      <c r="X187" s="154">
        <f t="shared" si="40"/>
        <v>3</v>
      </c>
      <c r="Y187" s="155">
        <v>45.5</v>
      </c>
      <c r="Z187" s="156">
        <f t="shared" si="39"/>
        <v>79030.979396834882</v>
      </c>
      <c r="AA187" s="157">
        <f t="shared" si="38"/>
        <v>909.9980093560298</v>
      </c>
      <c r="AR187" s="80"/>
      <c r="AS187" s="80"/>
      <c r="AT187" s="80"/>
      <c r="BS187" s="135">
        <v>18.3</v>
      </c>
      <c r="BT187" s="136">
        <v>5781.4272917288745</v>
      </c>
    </row>
    <row r="188" spans="22:72" ht="16.5">
      <c r="W188" s="153">
        <f t="shared" si="37"/>
        <v>42095</v>
      </c>
      <c r="X188" s="154">
        <f t="shared" si="40"/>
        <v>4</v>
      </c>
      <c r="Y188" s="155">
        <v>47</v>
      </c>
      <c r="Z188" s="156">
        <f t="shared" si="39"/>
        <v>85911.466109286353</v>
      </c>
      <c r="AA188" s="157">
        <f t="shared" si="38"/>
        <v>6880.4867124514712</v>
      </c>
      <c r="AR188" s="80"/>
      <c r="AS188" s="80"/>
      <c r="AT188" s="80"/>
      <c r="BS188" s="135">
        <v>18.399999999999999</v>
      </c>
      <c r="BT188" s="136">
        <v>5872.4246043595103</v>
      </c>
    </row>
    <row r="189" spans="22:72" ht="16.5">
      <c r="W189" s="153">
        <f t="shared" si="37"/>
        <v>42125</v>
      </c>
      <c r="X189" s="154">
        <f t="shared" si="40"/>
        <v>5</v>
      </c>
      <c r="Y189" s="155">
        <v>49.2</v>
      </c>
      <c r="Z189" s="156">
        <f t="shared" si="39"/>
        <v>96193.814073852904</v>
      </c>
      <c r="AA189" s="157">
        <f t="shared" si="38"/>
        <v>10282.34796456655</v>
      </c>
      <c r="AR189" s="80"/>
      <c r="AS189" s="80"/>
      <c r="AT189" s="80"/>
      <c r="BS189" s="135">
        <v>18.5</v>
      </c>
      <c r="BT189" s="136">
        <v>5964.2928237284759</v>
      </c>
    </row>
    <row r="190" spans="22:72" ht="16.5">
      <c r="W190" s="153">
        <f t="shared" si="37"/>
        <v>42156</v>
      </c>
      <c r="X190" s="154">
        <f t="shared" si="40"/>
        <v>6</v>
      </c>
      <c r="Y190" s="155">
        <v>53.4</v>
      </c>
      <c r="Z190" s="156">
        <f t="shared" si="39"/>
        <v>100000</v>
      </c>
      <c r="AA190" s="157">
        <f t="shared" si="38"/>
        <v>3806.1859261470963</v>
      </c>
      <c r="AR190" s="80"/>
      <c r="AS190" s="80"/>
      <c r="AT190" s="80"/>
      <c r="BS190" s="135">
        <v>18.600000000000001</v>
      </c>
      <c r="BT190" s="136">
        <v>6057.1314820344378</v>
      </c>
    </row>
    <row r="191" spans="22:72" ht="16.5">
      <c r="W191" s="153">
        <f t="shared" si="37"/>
        <v>42186</v>
      </c>
      <c r="X191" s="154">
        <f t="shared" si="40"/>
        <v>7</v>
      </c>
      <c r="Y191" s="155">
        <v>50.2</v>
      </c>
      <c r="Z191" s="156">
        <f t="shared" si="39"/>
        <v>100000</v>
      </c>
      <c r="AA191" s="157">
        <f t="shared" si="38"/>
        <v>0</v>
      </c>
      <c r="AB191" s="11"/>
      <c r="AC191" s="126"/>
      <c r="AD191" s="127"/>
      <c r="AP191" s="80"/>
      <c r="AQ191" s="80"/>
      <c r="AR191" s="80"/>
      <c r="BS191" s="137">
        <v>18.7</v>
      </c>
      <c r="BT191" s="136">
        <v>6150.9903453767292</v>
      </c>
    </row>
    <row r="192" spans="22:72" ht="16.5">
      <c r="W192" s="153">
        <f t="shared" si="37"/>
        <v>42217</v>
      </c>
      <c r="X192" s="154">
        <f>MONTH(W192)</f>
        <v>8</v>
      </c>
      <c r="Y192" s="155">
        <v>48.9</v>
      </c>
      <c r="Z192" s="156">
        <f t="shared" si="39"/>
        <v>94776.699512292224</v>
      </c>
      <c r="AA192" s="157">
        <f>Z192-Z191</f>
        <v>-5223.3004877077765</v>
      </c>
      <c r="AR192" s="80"/>
      <c r="AS192" s="80"/>
      <c r="AT192" s="80"/>
      <c r="BS192" s="137">
        <v>18.8</v>
      </c>
      <c r="BT192" s="136">
        <v>6245.7698815566846</v>
      </c>
    </row>
    <row r="193" spans="23:72" ht="16.5">
      <c r="W193" s="153">
        <f t="shared" si="37"/>
        <v>42248</v>
      </c>
      <c r="X193" s="154">
        <f>MONTH(W193)</f>
        <v>9</v>
      </c>
      <c r="Y193" s="155">
        <v>45.7</v>
      </c>
      <c r="Z193" s="156">
        <f t="shared" si="39"/>
        <v>79942.744102717217</v>
      </c>
      <c r="AA193" s="157">
        <f>Z193-Z192</f>
        <v>-14833.955409575006</v>
      </c>
      <c r="AR193" s="80"/>
      <c r="AS193" s="80"/>
      <c r="AT193" s="80"/>
      <c r="BS193" s="137">
        <v>18.899999999999999</v>
      </c>
      <c r="BT193" s="136">
        <v>6341.619388872301</v>
      </c>
    </row>
    <row r="194" spans="23:72">
      <c r="W194" s="153">
        <f t="shared" si="37"/>
        <v>42278</v>
      </c>
      <c r="X194" s="154">
        <f>MONTH(W194)</f>
        <v>10</v>
      </c>
      <c r="Y194" s="155">
        <v>45.1</v>
      </c>
      <c r="Z194" s="156">
        <f t="shared" si="39"/>
        <v>77212.750074649157</v>
      </c>
      <c r="AA194" s="157">
        <f>Z194-Z193</f>
        <v>-2729.9940280680603</v>
      </c>
      <c r="AR194" s="79"/>
      <c r="AS194" s="79"/>
      <c r="AT194" s="79"/>
      <c r="BS194" s="137">
        <v>19</v>
      </c>
      <c r="BT194" s="136">
        <v>6438.3646859759128</v>
      </c>
    </row>
    <row r="195" spans="23:72">
      <c r="W195" s="153">
        <f t="shared" si="37"/>
        <v>42309</v>
      </c>
      <c r="X195" s="154">
        <f>MONTH(W195)</f>
        <v>11</v>
      </c>
      <c r="Y195" s="155">
        <v>52</v>
      </c>
      <c r="Z195" s="156">
        <f t="shared" si="39"/>
        <v>100000</v>
      </c>
      <c r="AA195" s="157">
        <f>Z195-Z194</f>
        <v>22787.249925350843</v>
      </c>
      <c r="BS195" s="137">
        <v>19.100000000000001</v>
      </c>
      <c r="BT195" s="136">
        <v>6536.1799542151894</v>
      </c>
    </row>
    <row r="196" spans="23:72">
      <c r="W196" s="153">
        <f t="shared" si="37"/>
        <v>42339</v>
      </c>
      <c r="X196" s="154">
        <f t="shared" ref="X196:X208" si="41">MONTH(W196)</f>
        <v>12</v>
      </c>
      <c r="Y196" s="155">
        <v>53.4</v>
      </c>
      <c r="Z196" s="156">
        <f t="shared" si="39"/>
        <v>100000</v>
      </c>
      <c r="AA196" s="157">
        <f>Z196-Z195</f>
        <v>0</v>
      </c>
      <c r="BS196" s="137">
        <v>19.2</v>
      </c>
      <c r="BT196" s="136">
        <v>6635.2144918881249</v>
      </c>
    </row>
    <row r="197" spans="23:72">
      <c r="W197" s="153">
        <f t="shared" si="37"/>
        <v>42370</v>
      </c>
      <c r="X197" s="154">
        <f t="shared" si="41"/>
        <v>1</v>
      </c>
      <c r="Y197" s="155">
        <v>49.9</v>
      </c>
      <c r="Z197" s="156">
        <f t="shared" ref="Z197:Z208" si="42">VLOOKUP(Y197,$BS$4:$BT$1905,2)</f>
        <v>99522.34497860058</v>
      </c>
      <c r="AA197" s="157">
        <f t="shared" ref="AA197:AA208" si="43">Z197-Z196</f>
        <v>-477.65502139941964</v>
      </c>
      <c r="BS197" s="137">
        <v>19.3</v>
      </c>
      <c r="BT197" s="136">
        <v>6735.3936498457251</v>
      </c>
    </row>
    <row r="198" spans="23:72">
      <c r="W198" s="153">
        <f t="shared" ref="W198:W207" si="44">DATE(YEAR(W197),MONTH(W197)+1,DAY(W197))</f>
        <v>42401</v>
      </c>
      <c r="X198" s="154">
        <f t="shared" si="41"/>
        <v>2</v>
      </c>
      <c r="Y198" s="155">
        <v>49.4</v>
      </c>
      <c r="Z198" s="156">
        <f t="shared" si="42"/>
        <v>97141.634318702098</v>
      </c>
      <c r="AA198" s="157">
        <f t="shared" si="43"/>
        <v>-2380.7106598984828</v>
      </c>
      <c r="BS198" s="137">
        <v>19.399999999999999</v>
      </c>
      <c r="BT198" s="136">
        <v>6836.8916094356528</v>
      </c>
    </row>
    <row r="199" spans="23:72">
      <c r="W199" s="153">
        <f t="shared" si="44"/>
        <v>42430</v>
      </c>
      <c r="X199" s="154">
        <f t="shared" si="41"/>
        <v>3</v>
      </c>
      <c r="Y199" s="160"/>
      <c r="Z199" s="156" t="e">
        <f t="shared" si="42"/>
        <v>#N/A</v>
      </c>
      <c r="AA199" s="157" t="e">
        <f t="shared" si="43"/>
        <v>#N/A</v>
      </c>
      <c r="BS199" s="137">
        <v>19.5</v>
      </c>
      <c r="BT199" s="136">
        <v>6939.6088384592404</v>
      </c>
    </row>
    <row r="200" spans="23:72">
      <c r="W200" s="153">
        <f t="shared" si="44"/>
        <v>42461</v>
      </c>
      <c r="X200" s="154">
        <f t="shared" si="41"/>
        <v>4</v>
      </c>
      <c r="Y200" s="160"/>
      <c r="Z200" s="156" t="e">
        <f t="shared" si="42"/>
        <v>#N/A</v>
      </c>
      <c r="AA200" s="157" t="e">
        <f t="shared" si="43"/>
        <v>#N/A</v>
      </c>
      <c r="BS200" s="137">
        <v>19.600000000000001</v>
      </c>
      <c r="BT200" s="136">
        <v>7043.6199860654924</v>
      </c>
    </row>
    <row r="201" spans="23:72">
      <c r="W201" s="153">
        <f t="shared" si="44"/>
        <v>42491</v>
      </c>
      <c r="X201" s="154">
        <f t="shared" si="41"/>
        <v>5</v>
      </c>
      <c r="Y201" s="160"/>
      <c r="Z201" s="156" t="e">
        <f t="shared" si="42"/>
        <v>#N/A</v>
      </c>
      <c r="AA201" s="157" t="e">
        <f t="shared" si="43"/>
        <v>#N/A</v>
      </c>
      <c r="BS201" s="137">
        <v>19.7</v>
      </c>
      <c r="BT201" s="136">
        <v>7148.949935304071</v>
      </c>
    </row>
    <row r="202" spans="23:72">
      <c r="W202" s="153">
        <f t="shared" si="44"/>
        <v>42522</v>
      </c>
      <c r="X202" s="154">
        <f t="shared" si="41"/>
        <v>6</v>
      </c>
      <c r="Y202" s="160"/>
      <c r="Z202" s="156" t="e">
        <f t="shared" si="42"/>
        <v>#N/A</v>
      </c>
      <c r="AA202" s="157" t="e">
        <f t="shared" si="43"/>
        <v>#N/A</v>
      </c>
      <c r="BS202" s="137">
        <v>19.8</v>
      </c>
      <c r="BT202" s="136">
        <v>7255.4991539763123</v>
      </c>
    </row>
    <row r="203" spans="23:72">
      <c r="W203" s="153">
        <f t="shared" si="44"/>
        <v>42552</v>
      </c>
      <c r="X203" s="154">
        <f t="shared" si="41"/>
        <v>7</v>
      </c>
      <c r="Y203" s="160"/>
      <c r="Z203" s="156" t="e">
        <f t="shared" si="42"/>
        <v>#N/A</v>
      </c>
      <c r="AA203" s="157" t="e">
        <f t="shared" si="43"/>
        <v>#N/A</v>
      </c>
      <c r="BS203" s="137">
        <v>19.899999999999999</v>
      </c>
      <c r="BT203" s="136">
        <v>7363.3920573305468</v>
      </c>
    </row>
    <row r="204" spans="23:72">
      <c r="W204" s="153">
        <f t="shared" si="44"/>
        <v>42583</v>
      </c>
      <c r="X204" s="154">
        <f t="shared" si="41"/>
        <v>8</v>
      </c>
      <c r="Y204" s="160"/>
      <c r="Z204" s="156" t="e">
        <f t="shared" si="42"/>
        <v>#N/A</v>
      </c>
      <c r="AA204" s="157" t="e">
        <f t="shared" si="43"/>
        <v>#N/A</v>
      </c>
      <c r="BS204" s="137">
        <v>20</v>
      </c>
      <c r="BT204" s="136">
        <v>7472.5291131681097</v>
      </c>
    </row>
    <row r="205" spans="23:72">
      <c r="W205" s="153">
        <f t="shared" si="44"/>
        <v>42614</v>
      </c>
      <c r="X205" s="154">
        <f t="shared" si="41"/>
        <v>9</v>
      </c>
      <c r="Y205" s="160"/>
      <c r="Z205" s="156" t="e">
        <f t="shared" si="42"/>
        <v>#N/A</v>
      </c>
      <c r="AA205" s="157" t="e">
        <f t="shared" si="43"/>
        <v>#N/A</v>
      </c>
      <c r="BS205" s="137">
        <v>20.100000000000001</v>
      </c>
      <c r="BT205" s="136">
        <v>7583.1093858863342</v>
      </c>
    </row>
    <row r="206" spans="23:72">
      <c r="W206" s="153">
        <f t="shared" si="44"/>
        <v>42644</v>
      </c>
      <c r="X206" s="154">
        <f t="shared" si="41"/>
        <v>10</v>
      </c>
      <c r="Y206" s="160"/>
      <c r="Z206" s="156" t="e">
        <f t="shared" si="42"/>
        <v>#N/A</v>
      </c>
      <c r="AA206" s="157" t="e">
        <f t="shared" si="43"/>
        <v>#N/A</v>
      </c>
      <c r="BS206" s="137">
        <v>20.2</v>
      </c>
      <c r="BT206" s="136">
        <v>7695.1826415845526</v>
      </c>
    </row>
    <row r="207" spans="23:72">
      <c r="W207" s="153">
        <f t="shared" si="44"/>
        <v>42675</v>
      </c>
      <c r="X207" s="154">
        <f t="shared" si="41"/>
        <v>11</v>
      </c>
      <c r="Y207" s="160"/>
      <c r="Z207" s="156" t="e">
        <f t="shared" si="42"/>
        <v>#N/A</v>
      </c>
      <c r="AA207" s="157" t="e">
        <f t="shared" si="43"/>
        <v>#N/A</v>
      </c>
      <c r="BS207" s="137">
        <v>20.3</v>
      </c>
      <c r="BT207" s="136">
        <v>7808.7239972130992</v>
      </c>
    </row>
    <row r="208" spans="23:72" ht="15.75" thickBot="1">
      <c r="W208" s="161">
        <f>DATE(YEAR(W207),MONTH(W207)+1,DAY(W207))</f>
        <v>42705</v>
      </c>
      <c r="X208" s="162">
        <f t="shared" si="41"/>
        <v>12</v>
      </c>
      <c r="Y208" s="163"/>
      <c r="Z208" s="164" t="e">
        <f t="shared" si="42"/>
        <v>#N/A</v>
      </c>
      <c r="AA208" s="165" t="e">
        <f t="shared" si="43"/>
        <v>#N/A</v>
      </c>
      <c r="BS208" s="137">
        <v>20.399999999999999</v>
      </c>
      <c r="BT208" s="136">
        <v>7923.8827510699703</v>
      </c>
    </row>
    <row r="209" spans="23:72">
      <c r="W209" s="8"/>
      <c r="X209" s="8"/>
      <c r="Y209" s="130"/>
      <c r="Z209" s="8"/>
      <c r="AA209" s="8"/>
      <c r="BS209" s="137">
        <v>20.5</v>
      </c>
      <c r="BT209" s="136">
        <v>8040.6589031551703</v>
      </c>
    </row>
    <row r="210" spans="23:72">
      <c r="BS210" s="137">
        <v>20.6</v>
      </c>
      <c r="BT210" s="136">
        <v>8159.2515178660296</v>
      </c>
    </row>
    <row r="211" spans="23:72">
      <c r="BS211" s="137">
        <v>20.7</v>
      </c>
      <c r="BT211" s="136">
        <v>8279.9343087488796</v>
      </c>
    </row>
    <row r="212" spans="23:72">
      <c r="BS212" s="137">
        <v>20.8</v>
      </c>
      <c r="BT212" s="136">
        <v>8402.5828605553888</v>
      </c>
    </row>
    <row r="213" spans="23:72">
      <c r="BS213" s="137">
        <v>20.9</v>
      </c>
      <c r="BT213" s="136">
        <v>8527.271822434559</v>
      </c>
    </row>
    <row r="214" spans="23:72">
      <c r="BS214" s="137">
        <v>21</v>
      </c>
      <c r="BT214" s="136">
        <v>8653.702597790385</v>
      </c>
    </row>
    <row r="215" spans="23:72">
      <c r="BS215" s="137">
        <v>21.1</v>
      </c>
      <c r="BT215" s="136">
        <v>8781.7756544242056</v>
      </c>
    </row>
    <row r="216" spans="23:72">
      <c r="BS216" s="137">
        <v>21.2</v>
      </c>
      <c r="BT216" s="136">
        <v>8911.5905245346858</v>
      </c>
    </row>
    <row r="217" spans="23:72">
      <c r="BS217" s="137">
        <v>21.3</v>
      </c>
      <c r="BT217" s="136">
        <v>9042.8237284761617</v>
      </c>
    </row>
    <row r="218" spans="23:72">
      <c r="BS218" s="137">
        <v>21.4</v>
      </c>
      <c r="BT218" s="136">
        <v>9175.5499153976307</v>
      </c>
    </row>
    <row r="219" spans="23:72">
      <c r="BS219" s="137">
        <v>21.5</v>
      </c>
      <c r="BT219" s="136">
        <v>9309.6944361500955</v>
      </c>
    </row>
    <row r="220" spans="23:72">
      <c r="BS220" s="137">
        <v>21.6</v>
      </c>
      <c r="BT220" s="136">
        <v>9445.2572907335525</v>
      </c>
    </row>
    <row r="221" spans="23:72">
      <c r="BS221" s="137">
        <v>21.7</v>
      </c>
      <c r="BT221" s="136">
        <v>9582.1887130486721</v>
      </c>
    </row>
    <row r="222" spans="23:72">
      <c r="BS222" s="137">
        <v>21.8</v>
      </c>
      <c r="BT222" s="136">
        <v>9720.3394047974507</v>
      </c>
    </row>
    <row r="223" spans="23:72">
      <c r="BS223" s="137">
        <v>21.9</v>
      </c>
      <c r="BT223" s="136">
        <v>9859.8835473275594</v>
      </c>
    </row>
    <row r="224" spans="23:72">
      <c r="BS224" s="137">
        <v>22</v>
      </c>
      <c r="BT224" s="136">
        <v>10000.696725390664</v>
      </c>
    </row>
    <row r="225" spans="71:72">
      <c r="BS225" s="137">
        <v>22.1</v>
      </c>
      <c r="BT225" s="136">
        <v>10142.778938986761</v>
      </c>
    </row>
    <row r="226" spans="71:72">
      <c r="BS226" s="137">
        <v>22.2</v>
      </c>
      <c r="BT226" s="136">
        <v>10286.155071165524</v>
      </c>
    </row>
    <row r="227" spans="71:72">
      <c r="BS227" s="137">
        <v>22.3</v>
      </c>
      <c r="BT227" s="136">
        <v>10430.725589728276</v>
      </c>
    </row>
    <row r="228" spans="71:72">
      <c r="BS228" s="137">
        <v>22.4</v>
      </c>
      <c r="BT228" s="136">
        <v>10576.689559072362</v>
      </c>
    </row>
    <row r="229" spans="71:72">
      <c r="BS229" s="137">
        <v>22.5</v>
      </c>
      <c r="BT229" s="136">
        <v>10723.847914800437</v>
      </c>
    </row>
    <row r="230" spans="71:72">
      <c r="BS230" s="137">
        <v>22.6</v>
      </c>
      <c r="BT230" s="136">
        <v>10872.325072160844</v>
      </c>
    </row>
    <row r="231" spans="71:72">
      <c r="BS231" s="137">
        <v>22.7</v>
      </c>
      <c r="BT231" s="136">
        <v>11022.220563352243</v>
      </c>
    </row>
    <row r="232" spans="71:72">
      <c r="BS232" s="137">
        <v>22.8</v>
      </c>
      <c r="BT232" s="136">
        <v>11173.385090076639</v>
      </c>
    </row>
    <row r="233" spans="71:72">
      <c r="BS233" s="137">
        <v>22.9</v>
      </c>
      <c r="BT233" s="136">
        <v>11325.96795063203</v>
      </c>
    </row>
    <row r="234" spans="71:72">
      <c r="BS234" s="137">
        <v>23</v>
      </c>
      <c r="BT234" s="136">
        <v>11479.770080621081</v>
      </c>
    </row>
    <row r="235" spans="71:72">
      <c r="BS235" s="137">
        <v>23.1</v>
      </c>
      <c r="BT235" s="136">
        <v>11634.791480043794</v>
      </c>
    </row>
    <row r="236" spans="71:72">
      <c r="BS236" s="137">
        <v>23.2</v>
      </c>
      <c r="BT236" s="136">
        <v>11791.131681098836</v>
      </c>
    </row>
    <row r="237" spans="71:72">
      <c r="BS237" s="137">
        <v>23.3</v>
      </c>
      <c r="BT237" s="136">
        <v>11948.641385488205</v>
      </c>
    </row>
    <row r="238" spans="71:72">
      <c r="BS238" s="137">
        <v>23.4</v>
      </c>
      <c r="BT238" s="136">
        <v>12107.519657609238</v>
      </c>
    </row>
    <row r="239" spans="71:72">
      <c r="BS239" s="137">
        <v>23.5</v>
      </c>
      <c r="BT239" s="136">
        <v>12267.666965263263</v>
      </c>
    </row>
    <row r="240" spans="71:72">
      <c r="BS240" s="137">
        <v>23.6</v>
      </c>
      <c r="BT240" s="136">
        <v>12429.207723698617</v>
      </c>
    </row>
    <row r="241" spans="71:72">
      <c r="BS241" s="137">
        <v>23.7</v>
      </c>
      <c r="BT241" s="136">
        <v>12592.316114262963</v>
      </c>
    </row>
    <row r="242" spans="71:72">
      <c r="BS242" s="137">
        <v>23.8</v>
      </c>
      <c r="BT242" s="136">
        <v>12756.668657310638</v>
      </c>
    </row>
    <row r="243" spans="71:72">
      <c r="BS243" s="137">
        <v>23.9</v>
      </c>
      <c r="BT243" s="136">
        <v>12922.389768089975</v>
      </c>
    </row>
    <row r="244" spans="71:72">
      <c r="BS244" s="137">
        <v>24</v>
      </c>
      <c r="BT244" s="136">
        <v>13089.230616104311</v>
      </c>
    </row>
    <row r="245" spans="71:72">
      <c r="BS245" s="137">
        <v>24.1</v>
      </c>
      <c r="BT245" s="136">
        <v>13257.166318303971</v>
      </c>
    </row>
    <row r="246" spans="71:72">
      <c r="BS246" s="137">
        <v>24.2</v>
      </c>
      <c r="BT246" s="136">
        <v>13426.196874688962</v>
      </c>
    </row>
    <row r="247" spans="71:72">
      <c r="BS247" s="137">
        <v>24.3</v>
      </c>
      <c r="BT247" s="136">
        <v>13596.123220861949</v>
      </c>
    </row>
    <row r="248" spans="71:72">
      <c r="BS248" s="137">
        <v>24.4</v>
      </c>
      <c r="BT248" s="136">
        <v>13767.094655120931</v>
      </c>
    </row>
    <row r="249" spans="71:72">
      <c r="BS249" s="137">
        <v>24.5</v>
      </c>
      <c r="BT249" s="136">
        <v>13938.887230018912</v>
      </c>
    </row>
    <row r="250" spans="71:72">
      <c r="BS250" s="137">
        <v>24.6</v>
      </c>
      <c r="BT250" s="136">
        <v>14111.600477754555</v>
      </c>
    </row>
    <row r="251" spans="71:72">
      <c r="BS251" s="137">
        <v>24.7</v>
      </c>
      <c r="BT251" s="136">
        <v>14285.383696625859</v>
      </c>
    </row>
    <row r="252" spans="71:72">
      <c r="BS252" s="137">
        <v>24.8</v>
      </c>
      <c r="BT252" s="136">
        <v>14460.037822235492</v>
      </c>
    </row>
    <row r="253" spans="71:72">
      <c r="BS253" s="137">
        <v>24.9</v>
      </c>
      <c r="BT253" s="136">
        <v>14635.861451179455</v>
      </c>
    </row>
    <row r="254" spans="71:72">
      <c r="BS254" s="137">
        <v>25</v>
      </c>
      <c r="BT254" s="136">
        <v>14812.804817358416</v>
      </c>
    </row>
    <row r="255" spans="71:72">
      <c r="BS255" s="137">
        <v>25.1</v>
      </c>
      <c r="BT255" s="136">
        <v>14991.042102120036</v>
      </c>
    </row>
    <row r="256" spans="71:72">
      <c r="BS256" s="137">
        <v>25.2</v>
      </c>
      <c r="BT256" s="136">
        <v>15170.623071563652</v>
      </c>
    </row>
    <row r="257" spans="71:72">
      <c r="BS257" s="137">
        <v>25.3</v>
      </c>
      <c r="BT257" s="136">
        <v>15351.274012142929</v>
      </c>
    </row>
    <row r="258" spans="71:72">
      <c r="BS258" s="137">
        <v>25.4</v>
      </c>
      <c r="BT258" s="136">
        <v>15533.218871304865</v>
      </c>
    </row>
    <row r="259" spans="71:72">
      <c r="BS259" s="137">
        <v>25.5</v>
      </c>
      <c r="BT259" s="136">
        <v>15716.183935503137</v>
      </c>
    </row>
    <row r="260" spans="71:72">
      <c r="BS260" s="137">
        <v>25.6</v>
      </c>
      <c r="BT260" s="136">
        <v>15900.343386085397</v>
      </c>
    </row>
    <row r="261" spans="71:72">
      <c r="BS261" s="137">
        <v>25.7</v>
      </c>
      <c r="BT261" s="136">
        <v>16085.722106101324</v>
      </c>
    </row>
    <row r="262" spans="71:72">
      <c r="BS262" s="137">
        <v>25.8</v>
      </c>
      <c r="BT262" s="136">
        <v>16272.121031153578</v>
      </c>
    </row>
    <row r="263" spans="71:72">
      <c r="BS263" s="137">
        <v>25.9</v>
      </c>
      <c r="BT263" s="136">
        <v>16459.788991738827</v>
      </c>
    </row>
    <row r="264" spans="71:72">
      <c r="BS264" s="137">
        <v>26</v>
      </c>
      <c r="BT264" s="136">
        <v>16648.502040410072</v>
      </c>
    </row>
    <row r="265" spans="71:72">
      <c r="BS265" s="137">
        <v>26.1</v>
      </c>
      <c r="BT265" s="136">
        <v>16838.309943266646</v>
      </c>
    </row>
    <row r="266" spans="71:72">
      <c r="BS266" s="137">
        <v>26.2</v>
      </c>
      <c r="BT266" s="136">
        <v>17029.312232507215</v>
      </c>
    </row>
    <row r="267" spans="71:72">
      <c r="BS267" s="137">
        <v>26.3</v>
      </c>
      <c r="BT267" s="136">
        <v>17221.23519458545</v>
      </c>
    </row>
    <row r="268" spans="71:72">
      <c r="BS268" s="137">
        <v>26.4</v>
      </c>
      <c r="BT268" s="136">
        <v>17414.327659998009</v>
      </c>
    </row>
    <row r="269" spans="71:72">
      <c r="BS269" s="137">
        <v>26.5</v>
      </c>
      <c r="BT269" s="136">
        <v>17608.315915198567</v>
      </c>
    </row>
    <row r="270" spans="71:72">
      <c r="BS270" s="137">
        <v>26.6</v>
      </c>
      <c r="BT270" s="136">
        <v>17803.299492385788</v>
      </c>
    </row>
    <row r="271" spans="71:72">
      <c r="BS271" s="137">
        <v>26.7</v>
      </c>
      <c r="BT271" s="136">
        <v>17999.477455957003</v>
      </c>
    </row>
    <row r="272" spans="71:72">
      <c r="BS272" s="137">
        <v>26.8</v>
      </c>
      <c r="BT272" s="136">
        <v>18196.576092365882</v>
      </c>
    </row>
    <row r="273" spans="71:72">
      <c r="BS273" s="137">
        <v>26.9</v>
      </c>
      <c r="BT273" s="136">
        <v>18394.869115158755</v>
      </c>
    </row>
    <row r="274" spans="71:72">
      <c r="BS274" s="137">
        <v>27</v>
      </c>
      <c r="BT274" s="136">
        <v>18594.107693838956</v>
      </c>
    </row>
    <row r="275" spans="71:72">
      <c r="BS275" s="137">
        <v>27.1</v>
      </c>
      <c r="BT275" s="136">
        <v>18794.416243654825</v>
      </c>
    </row>
    <row r="276" spans="71:72">
      <c r="BS276" s="137">
        <v>27.2</v>
      </c>
      <c r="BT276" s="136">
        <v>18995.919179854685</v>
      </c>
    </row>
    <row r="277" spans="71:72">
      <c r="BS277" s="137">
        <v>27.3</v>
      </c>
      <c r="BT277" s="136">
        <v>19198.367671941873</v>
      </c>
    </row>
    <row r="278" spans="71:72">
      <c r="BS278" s="137">
        <v>27.4</v>
      </c>
      <c r="BT278" s="136">
        <v>19402.010550413055</v>
      </c>
    </row>
    <row r="279" spans="71:72">
      <c r="BS279" s="137">
        <v>27.5</v>
      </c>
      <c r="BT279" s="136">
        <v>19606.574101721908</v>
      </c>
    </row>
    <row r="280" spans="71:72">
      <c r="BS280" s="137">
        <v>27.6</v>
      </c>
      <c r="BT280" s="136">
        <v>19812.182741116751</v>
      </c>
    </row>
    <row r="281" spans="71:72">
      <c r="BS281" s="137">
        <v>27.7</v>
      </c>
      <c r="BT281" s="136">
        <v>20019.010649945256</v>
      </c>
    </row>
    <row r="282" spans="71:72">
      <c r="BS282" s="137">
        <v>27.8</v>
      </c>
      <c r="BT282" s="136">
        <v>20226.759231611424</v>
      </c>
    </row>
    <row r="283" spans="71:72">
      <c r="BS283" s="137">
        <v>27.9</v>
      </c>
      <c r="BT283" s="136">
        <v>20435.577784413257</v>
      </c>
    </row>
    <row r="284" spans="71:72">
      <c r="BS284" s="137">
        <v>28</v>
      </c>
      <c r="BT284" s="136">
        <v>20645.242360903751</v>
      </c>
    </row>
    <row r="285" spans="71:72">
      <c r="BS285" s="137">
        <v>28.1</v>
      </c>
      <c r="BT285" s="136">
        <v>20855.976908529912</v>
      </c>
    </row>
    <row r="286" spans="71:72">
      <c r="BS286" s="137">
        <v>28.2</v>
      </c>
      <c r="BT286" s="136">
        <v>21067.856076440727</v>
      </c>
    </row>
    <row r="287" spans="71:72">
      <c r="BS287" s="137">
        <v>28.3</v>
      </c>
      <c r="BT287" s="136">
        <v>21280.60615108988</v>
      </c>
    </row>
    <row r="288" spans="71:72">
      <c r="BS288" s="137">
        <v>28.4</v>
      </c>
      <c r="BT288" s="136">
        <v>21494.475962974026</v>
      </c>
    </row>
    <row r="289" spans="71:72">
      <c r="BS289" s="137">
        <v>28.5</v>
      </c>
      <c r="BT289" s="136">
        <v>21709.191798546828</v>
      </c>
    </row>
    <row r="290" spans="71:72">
      <c r="BS290" s="137">
        <v>28.6</v>
      </c>
      <c r="BT290" s="136">
        <v>21924.853190006968</v>
      </c>
    </row>
    <row r="291" spans="71:72">
      <c r="BS291" s="137">
        <v>28.7</v>
      </c>
      <c r="BT291" s="136">
        <v>22141.634318702101</v>
      </c>
    </row>
    <row r="292" spans="71:72">
      <c r="BS292" s="137">
        <v>28.8</v>
      </c>
      <c r="BT292" s="136">
        <v>22359.261471085894</v>
      </c>
    </row>
    <row r="293" spans="71:72">
      <c r="BS293" s="137">
        <v>28.9</v>
      </c>
      <c r="BT293" s="136">
        <v>22578.033243754351</v>
      </c>
    </row>
    <row r="294" spans="71:72">
      <c r="BS294" s="137">
        <v>29</v>
      </c>
      <c r="BT294" s="136">
        <v>22797.675923161143</v>
      </c>
    </row>
    <row r="295" spans="71:72">
      <c r="BS295" s="137">
        <v>29.1</v>
      </c>
      <c r="BT295" s="136">
        <v>23018.338807604261</v>
      </c>
    </row>
    <row r="296" spans="71:72">
      <c r="BS296" s="137">
        <v>29.2</v>
      </c>
      <c r="BT296" s="136">
        <v>23240.196078431374</v>
      </c>
    </row>
    <row r="297" spans="71:72">
      <c r="BS297" s="137">
        <v>29.3</v>
      </c>
      <c r="BT297" s="136">
        <v>23462.974022096147</v>
      </c>
    </row>
    <row r="298" spans="71:72">
      <c r="BS298" s="137">
        <v>29.4</v>
      </c>
      <c r="BT298" s="136">
        <v>23686.92146909525</v>
      </c>
    </row>
    <row r="299" spans="71:72">
      <c r="BS299" s="137">
        <v>29.5</v>
      </c>
      <c r="BT299" s="136">
        <v>23911.789588932021</v>
      </c>
    </row>
    <row r="300" spans="71:72">
      <c r="BS300" s="137">
        <v>29.6</v>
      </c>
      <c r="BT300" s="136">
        <v>24137.727679904448</v>
      </c>
    </row>
    <row r="301" spans="71:72">
      <c r="BS301" s="137">
        <v>29.7</v>
      </c>
      <c r="BT301" s="136">
        <v>24364.885040310543</v>
      </c>
    </row>
    <row r="302" spans="71:72">
      <c r="BS302" s="137">
        <v>29.8</v>
      </c>
      <c r="BT302" s="136">
        <v>24592.963073554296</v>
      </c>
    </row>
    <row r="303" spans="71:72">
      <c r="BS303" s="137">
        <v>29.9</v>
      </c>
      <c r="BT303" s="136">
        <v>24822.210610132377</v>
      </c>
    </row>
    <row r="304" spans="71:72">
      <c r="BS304" s="137">
        <v>30</v>
      </c>
      <c r="BT304" s="136">
        <v>25052.453468697124</v>
      </c>
    </row>
    <row r="305" spans="71:72">
      <c r="BS305" s="137">
        <v>30.1</v>
      </c>
      <c r="BT305" s="136">
        <v>25284.040011943864</v>
      </c>
    </row>
    <row r="306" spans="71:72">
      <c r="BS306" s="137">
        <v>30.2</v>
      </c>
      <c r="BT306" s="136">
        <v>25516.995122922264</v>
      </c>
    </row>
    <row r="307" spans="71:72">
      <c r="BS307" s="137">
        <v>30.3</v>
      </c>
      <c r="BT307" s="136">
        <v>25750.995321986666</v>
      </c>
    </row>
    <row r="308" spans="71:72">
      <c r="BS308" s="137">
        <v>30.4</v>
      </c>
      <c r="BT308" s="136">
        <v>25986.314322683385</v>
      </c>
    </row>
    <row r="309" spans="71:72">
      <c r="BS309" s="137">
        <v>30.5</v>
      </c>
      <c r="BT309" s="136">
        <v>26222.67841146611</v>
      </c>
    </row>
    <row r="310" spans="71:72">
      <c r="BS310" s="137">
        <v>30.6</v>
      </c>
      <c r="BT310" s="136">
        <v>26460.18712053349</v>
      </c>
    </row>
    <row r="311" spans="71:72">
      <c r="BS311" s="137">
        <v>30.7</v>
      </c>
      <c r="BT311" s="136">
        <v>26698.98974818354</v>
      </c>
    </row>
    <row r="312" spans="71:72">
      <c r="BS312" s="137">
        <v>30.8</v>
      </c>
      <c r="BT312" s="136">
        <v>26938.837463919579</v>
      </c>
    </row>
    <row r="313" spans="71:72">
      <c r="BS313" s="137">
        <v>30.9</v>
      </c>
      <c r="BT313" s="136">
        <v>27180.078630436943</v>
      </c>
    </row>
    <row r="314" spans="71:72">
      <c r="BS314" s="137">
        <v>31</v>
      </c>
      <c r="BT314" s="136">
        <v>27422.414651139643</v>
      </c>
    </row>
    <row r="315" spans="71:72">
      <c r="BS315" s="137">
        <v>31.1</v>
      </c>
      <c r="BT315" s="136">
        <v>27666.044590425005</v>
      </c>
    </row>
    <row r="316" spans="71:72">
      <c r="BS316" s="137">
        <v>31.2</v>
      </c>
      <c r="BT316" s="136">
        <v>27911.117746591026</v>
      </c>
    </row>
    <row r="317" spans="71:72">
      <c r="BS317" s="137">
        <v>31.3</v>
      </c>
      <c r="BT317" s="136">
        <v>28157.260873892705</v>
      </c>
    </row>
    <row r="318" spans="71:72">
      <c r="BS318" s="137">
        <v>31.4</v>
      </c>
      <c r="BT318" s="136">
        <v>28404.772568926044</v>
      </c>
    </row>
    <row r="319" spans="71:72">
      <c r="BS319" s="137">
        <v>31.5</v>
      </c>
      <c r="BT319" s="136">
        <v>28653.329352045388</v>
      </c>
    </row>
    <row r="320" spans="71:72">
      <c r="BS320" s="137">
        <v>31.6</v>
      </c>
      <c r="BT320" s="136">
        <v>28903.105404598391</v>
      </c>
    </row>
    <row r="321" spans="71:72">
      <c r="BS321" s="137">
        <v>31.7</v>
      </c>
      <c r="BT321" s="136">
        <v>29154.299790982386</v>
      </c>
    </row>
    <row r="322" spans="71:72">
      <c r="BS322" s="137">
        <v>31.8</v>
      </c>
      <c r="BT322" s="136">
        <v>29406.564148502039</v>
      </c>
    </row>
    <row r="323" spans="71:72">
      <c r="BS323" s="137">
        <v>31.9</v>
      </c>
      <c r="BT323" s="136">
        <v>29660.32148900169</v>
      </c>
    </row>
    <row r="324" spans="71:72">
      <c r="BS324" s="137">
        <v>32</v>
      </c>
      <c r="BT324" s="136">
        <v>29915.546929431668</v>
      </c>
    </row>
    <row r="325" spans="71:72">
      <c r="BS325" s="137">
        <v>32.1</v>
      </c>
      <c r="BT325" s="136">
        <v>30172.31511894098</v>
      </c>
    </row>
    <row r="326" spans="71:72">
      <c r="BS326" s="137">
        <v>32.200000000000003</v>
      </c>
      <c r="BT326" s="136">
        <v>30430.825121926948</v>
      </c>
    </row>
    <row r="327" spans="71:72">
      <c r="BS327" s="137">
        <v>32.299999999999997</v>
      </c>
      <c r="BT327" s="136">
        <v>30690.803224843239</v>
      </c>
    </row>
    <row r="328" spans="71:72">
      <c r="BS328" s="137">
        <v>32.4</v>
      </c>
      <c r="BT328" s="136">
        <v>30952.597790385189</v>
      </c>
    </row>
    <row r="329" spans="71:72">
      <c r="BS329" s="137">
        <v>32.5</v>
      </c>
      <c r="BT329" s="136">
        <v>31215.86045585747</v>
      </c>
    </row>
    <row r="330" spans="71:72">
      <c r="BS330" s="137">
        <v>32.6</v>
      </c>
      <c r="BT330" s="136">
        <v>31480.790285657411</v>
      </c>
    </row>
    <row r="331" spans="71:72">
      <c r="BS331" s="137">
        <v>32.700000000000003</v>
      </c>
      <c r="BT331" s="136">
        <v>31747.461928934012</v>
      </c>
    </row>
    <row r="332" spans="71:72">
      <c r="BS332" s="137">
        <v>32.799999999999997</v>
      </c>
      <c r="BT332" s="136">
        <v>32015.601672140936</v>
      </c>
    </row>
    <row r="333" spans="71:72">
      <c r="BS333" s="137">
        <v>32.9</v>
      </c>
      <c r="BT333" s="136">
        <v>32285.557877973526</v>
      </c>
    </row>
    <row r="334" spans="71:72">
      <c r="BS334" s="137">
        <v>33</v>
      </c>
      <c r="BT334" s="136">
        <v>32556.957300686772</v>
      </c>
    </row>
    <row r="335" spans="71:72">
      <c r="BS335" s="137">
        <v>33.1</v>
      </c>
      <c r="BT335" s="136">
        <v>32829.874589429681</v>
      </c>
    </row>
    <row r="336" spans="71:72">
      <c r="BS336" s="137">
        <v>33.200000000000003</v>
      </c>
      <c r="BT336" s="136">
        <v>33104.533691649245</v>
      </c>
    </row>
    <row r="337" spans="71:72">
      <c r="BS337" s="137">
        <v>33.299999999999997</v>
      </c>
      <c r="BT337" s="136">
        <v>33380.685776848812</v>
      </c>
    </row>
    <row r="338" spans="71:72">
      <c r="BS338" s="137">
        <v>33.4</v>
      </c>
      <c r="BT338" s="136">
        <v>33658.753856872696</v>
      </c>
    </row>
    <row r="339" spans="71:72">
      <c r="BS339" s="137">
        <v>33.5</v>
      </c>
      <c r="BT339" s="136">
        <v>33938.339802926246</v>
      </c>
    </row>
    <row r="340" spans="71:72">
      <c r="BS340" s="137">
        <v>33.6</v>
      </c>
      <c r="BT340" s="136">
        <v>34219.493381108783</v>
      </c>
    </row>
    <row r="341" spans="71:72">
      <c r="BS341" s="137">
        <v>33.700000000000003</v>
      </c>
      <c r="BT341" s="136">
        <v>34502.339006668655</v>
      </c>
    </row>
    <row r="342" spans="71:72">
      <c r="BS342" s="137">
        <v>33.799999999999997</v>
      </c>
      <c r="BT342" s="136">
        <v>34786.478550811189</v>
      </c>
    </row>
    <row r="343" spans="71:72">
      <c r="BS343" s="137">
        <v>33.9</v>
      </c>
      <c r="BT343" s="136">
        <v>35072.210610132373</v>
      </c>
    </row>
    <row r="344" spans="71:72">
      <c r="BS344" s="137">
        <v>34</v>
      </c>
      <c r="BT344" s="136">
        <v>35359.087289738236</v>
      </c>
    </row>
    <row r="345" spans="71:72">
      <c r="BS345" s="137">
        <v>34.1</v>
      </c>
      <c r="BT345" s="136">
        <v>35647.307654026081</v>
      </c>
    </row>
    <row r="346" spans="71:72">
      <c r="BS346" s="137">
        <v>34.200000000000003</v>
      </c>
      <c r="BT346" s="136">
        <v>35936.971235194585</v>
      </c>
    </row>
    <row r="347" spans="71:72">
      <c r="BS347" s="137">
        <v>34.299999999999997</v>
      </c>
      <c r="BT347" s="136">
        <v>36227.729670548426</v>
      </c>
    </row>
    <row r="348" spans="71:72">
      <c r="BS348" s="137">
        <v>34.4</v>
      </c>
      <c r="BT348" s="136">
        <v>36519.981088882254</v>
      </c>
    </row>
    <row r="349" spans="71:72">
      <c r="BS349" s="137">
        <v>34.5</v>
      </c>
      <c r="BT349" s="136">
        <v>36813.327361401418</v>
      </c>
    </row>
    <row r="350" spans="71:72">
      <c r="BS350" s="137">
        <v>34.6</v>
      </c>
      <c r="BT350" s="136">
        <v>37108.042201652235</v>
      </c>
    </row>
    <row r="351" spans="71:72">
      <c r="BS351" s="137">
        <v>34.700000000000003</v>
      </c>
      <c r="BT351" s="136">
        <v>37404.29979098239</v>
      </c>
    </row>
    <row r="352" spans="71:72">
      <c r="BS352" s="137">
        <v>34.799999999999997</v>
      </c>
      <c r="BT352" s="136">
        <v>37701.801532795856</v>
      </c>
    </row>
    <row r="353" spans="71:72">
      <c r="BS353" s="137">
        <v>34.9</v>
      </c>
      <c r="BT353" s="136">
        <v>38000.821140638996</v>
      </c>
    </row>
    <row r="354" spans="71:72">
      <c r="BS354" s="137">
        <v>35</v>
      </c>
      <c r="BT354" s="136">
        <v>38300.910719617801</v>
      </c>
    </row>
    <row r="355" spans="71:72">
      <c r="BS355" s="137">
        <v>35.1</v>
      </c>
      <c r="BT355" s="136">
        <v>38602.244451079918</v>
      </c>
    </row>
    <row r="356" spans="71:72">
      <c r="BS356" s="137">
        <v>35.200000000000003</v>
      </c>
      <c r="BT356" s="136">
        <v>38905.04628247238</v>
      </c>
    </row>
    <row r="357" spans="71:72">
      <c r="BS357" s="137">
        <v>35.299999999999997</v>
      </c>
      <c r="BT357" s="136">
        <v>39208.942968050163</v>
      </c>
    </row>
    <row r="358" spans="71:72">
      <c r="BS358" s="137">
        <v>35.4</v>
      </c>
      <c r="BT358" s="136">
        <v>39514.332636607949</v>
      </c>
    </row>
    <row r="359" spans="71:72">
      <c r="BS359" s="137">
        <v>35.5</v>
      </c>
      <c r="BT359" s="136">
        <v>39820.866925450384</v>
      </c>
    </row>
    <row r="360" spans="71:72">
      <c r="BS360" s="137">
        <v>35.6</v>
      </c>
      <c r="BT360" s="136">
        <v>40128.769782024487</v>
      </c>
    </row>
    <row r="361" spans="71:72">
      <c r="BS361" s="137">
        <v>35.700000000000003</v>
      </c>
      <c r="BT361" s="136">
        <v>40438.240270727583</v>
      </c>
    </row>
    <row r="362" spans="71:72">
      <c r="BS362" s="137">
        <v>35.799999999999997</v>
      </c>
      <c r="BT362" s="136">
        <v>40749.004678013334</v>
      </c>
    </row>
    <row r="363" spans="71:72">
      <c r="BS363" s="137">
        <v>35.9</v>
      </c>
      <c r="BT363" s="136">
        <v>41061.411366577086</v>
      </c>
    </row>
    <row r="364" spans="71:72">
      <c r="BS364" s="137">
        <v>36</v>
      </c>
      <c r="BT364" s="136">
        <v>41375.087090673835</v>
      </c>
    </row>
    <row r="365" spans="71:72">
      <c r="BS365" s="137">
        <v>36.1</v>
      </c>
      <c r="BT365" s="136">
        <v>41690.280680800242</v>
      </c>
    </row>
    <row r="366" spans="71:72">
      <c r="BS366" s="137">
        <v>36.200000000000003</v>
      </c>
      <c r="BT366" s="136">
        <v>42007.216084403306</v>
      </c>
    </row>
    <row r="367" spans="71:72">
      <c r="BS367" s="137">
        <v>36.299999999999997</v>
      </c>
      <c r="BT367" s="136">
        <v>42325.569821837358</v>
      </c>
    </row>
    <row r="368" spans="71:72">
      <c r="BS368" s="137">
        <v>36.4</v>
      </c>
      <c r="BT368" s="136">
        <v>42645.740021897087</v>
      </c>
    </row>
    <row r="369" spans="71:72">
      <c r="BS369" s="137">
        <v>36.5</v>
      </c>
      <c r="BT369" s="136">
        <v>42967.32855578779</v>
      </c>
    </row>
    <row r="370" spans="71:72">
      <c r="BS370" s="137">
        <v>36.6</v>
      </c>
      <c r="BT370" s="136">
        <v>43290.509604857172</v>
      </c>
    </row>
    <row r="371" spans="71:72">
      <c r="BS371" s="137">
        <v>36.700000000000003</v>
      </c>
      <c r="BT371" s="136">
        <v>43615.60664875088</v>
      </c>
    </row>
    <row r="372" spans="71:72">
      <c r="BS372" s="137">
        <v>36.799999999999997</v>
      </c>
      <c r="BT372" s="136">
        <v>43942.271324773566</v>
      </c>
    </row>
    <row r="373" spans="71:72">
      <c r="BS373" s="137">
        <v>36.9</v>
      </c>
      <c r="BT373" s="136">
        <v>44270.851995620578</v>
      </c>
    </row>
    <row r="374" spans="71:72">
      <c r="BS374" s="137">
        <v>37</v>
      </c>
      <c r="BT374" s="136">
        <v>44601.000298596591</v>
      </c>
    </row>
    <row r="375" spans="71:72">
      <c r="BS375" s="137">
        <v>37.1</v>
      </c>
      <c r="BT375" s="136">
        <v>44932.98994724793</v>
      </c>
    </row>
    <row r="376" spans="71:72">
      <c r="BS376" s="137">
        <v>37.200000000000003</v>
      </c>
      <c r="BT376" s="136">
        <v>45266.945356822936</v>
      </c>
    </row>
    <row r="377" spans="71:72">
      <c r="BS377" s="137">
        <v>37.299999999999997</v>
      </c>
      <c r="BT377" s="136">
        <v>45602.443515477251</v>
      </c>
    </row>
    <row r="378" spans="71:72">
      <c r="BS378" s="137">
        <v>37.4</v>
      </c>
      <c r="BT378" s="136">
        <v>45939.932318104911</v>
      </c>
    </row>
    <row r="379" spans="71:72">
      <c r="BS379" s="137">
        <v>37.5</v>
      </c>
      <c r="BT379" s="136">
        <v>46279.113168109885</v>
      </c>
    </row>
    <row r="380" spans="71:72">
      <c r="BS380" s="137">
        <v>37.6</v>
      </c>
      <c r="BT380" s="136">
        <v>46620.135363790185</v>
      </c>
    </row>
    <row r="381" spans="71:72">
      <c r="BS381" s="137">
        <v>37.700000000000003</v>
      </c>
      <c r="BT381" s="136">
        <v>46963.272618692143</v>
      </c>
    </row>
    <row r="382" spans="71:72">
      <c r="BS382" s="137">
        <v>37.799999999999997</v>
      </c>
      <c r="BT382" s="136">
        <v>47308.1268040211</v>
      </c>
    </row>
    <row r="383" spans="71:72">
      <c r="BS383" s="137">
        <v>37.9</v>
      </c>
      <c r="BT383" s="136">
        <v>47655.096048571715</v>
      </c>
    </row>
    <row r="384" spans="71:72">
      <c r="BS384" s="137">
        <v>38</v>
      </c>
      <c r="BT384" s="136">
        <v>48003.782223549315</v>
      </c>
    </row>
    <row r="385" spans="71:72">
      <c r="BS385" s="137">
        <v>38.1</v>
      </c>
      <c r="BT385" s="136">
        <v>48354.409276400911</v>
      </c>
    </row>
    <row r="386" spans="71:72">
      <c r="BS386" s="137">
        <v>38.200000000000003</v>
      </c>
      <c r="BT386" s="136">
        <v>48707.101622374837</v>
      </c>
    </row>
    <row r="387" spans="71:72">
      <c r="BS387" s="137">
        <v>38.299999999999997</v>
      </c>
      <c r="BT387" s="136">
        <v>49061.461132676421</v>
      </c>
    </row>
    <row r="388" spans="71:72">
      <c r="BS388" s="137">
        <v>38.4</v>
      </c>
      <c r="BT388" s="136">
        <v>49417.935702199669</v>
      </c>
    </row>
    <row r="389" spans="71:72">
      <c r="BS389" s="137">
        <v>38.5</v>
      </c>
      <c r="BT389" s="136">
        <v>49776.052553000896</v>
      </c>
    </row>
    <row r="390" spans="71:72">
      <c r="BS390" s="137">
        <v>38.6</v>
      </c>
      <c r="BT390" s="136">
        <v>50135.985866427793</v>
      </c>
    </row>
    <row r="391" spans="71:72">
      <c r="BS391" s="137">
        <v>38.700000000000003</v>
      </c>
      <c r="BT391" s="136">
        <v>50497.835174679007</v>
      </c>
    </row>
    <row r="392" spans="71:72">
      <c r="BS392" s="137">
        <v>38.799999999999997</v>
      </c>
      <c r="BT392" s="136">
        <v>50861.152582860559</v>
      </c>
    </row>
    <row r="393" spans="71:72">
      <c r="BS393" s="137">
        <v>38.9</v>
      </c>
      <c r="BT393" s="136">
        <v>51226.336219767101</v>
      </c>
    </row>
    <row r="394" spans="71:72">
      <c r="BS394" s="137">
        <v>39</v>
      </c>
      <c r="BT394" s="136">
        <v>51592.888424405304</v>
      </c>
    </row>
    <row r="395" spans="71:72">
      <c r="BS395" s="137">
        <v>39.1</v>
      </c>
      <c r="BT395" s="136">
        <v>51960.98337812283</v>
      </c>
    </row>
    <row r="396" spans="71:72">
      <c r="BS396" s="137">
        <v>39.200000000000003</v>
      </c>
      <c r="BT396" s="136">
        <v>52330.845028366683</v>
      </c>
    </row>
    <row r="397" spans="71:72">
      <c r="BS397" s="137">
        <v>39.299999999999997</v>
      </c>
      <c r="BT397" s="136">
        <v>52702.100129391853</v>
      </c>
    </row>
    <row r="398" spans="71:72">
      <c r="BS398" s="137">
        <v>39.4</v>
      </c>
      <c r="BT398" s="136">
        <v>53075.146809993035</v>
      </c>
    </row>
    <row r="399" spans="71:72">
      <c r="BS399" s="137">
        <v>39.5</v>
      </c>
      <c r="BT399" s="136">
        <v>53449.586941375535</v>
      </c>
    </row>
    <row r="400" spans="71:72">
      <c r="BS400" s="137">
        <v>39.6</v>
      </c>
      <c r="BT400" s="136">
        <v>53825.619587936693</v>
      </c>
    </row>
    <row r="401" spans="71:72">
      <c r="BS401" s="137">
        <v>39.700000000000003</v>
      </c>
      <c r="BT401" s="136">
        <v>54203.54334627252</v>
      </c>
    </row>
    <row r="402" spans="71:72">
      <c r="BS402" s="137">
        <v>39.799999999999997</v>
      </c>
      <c r="BT402" s="136">
        <v>54582.960087588326</v>
      </c>
    </row>
    <row r="403" spans="71:72">
      <c r="BS403" s="137">
        <v>39.9</v>
      </c>
      <c r="BT403" s="136">
        <v>54964.616303374147</v>
      </c>
    </row>
    <row r="404" spans="71:72">
      <c r="BS404" s="137">
        <v>40</v>
      </c>
      <c r="BT404" s="136">
        <v>55347.93968348761</v>
      </c>
    </row>
    <row r="405" spans="71:72">
      <c r="BS405" s="137">
        <v>40.1</v>
      </c>
      <c r="BT405" s="136">
        <v>55733.179058425398</v>
      </c>
    </row>
    <row r="406" spans="71:72">
      <c r="BS406" s="137">
        <v>40.200000000000003</v>
      </c>
      <c r="BT406" s="136">
        <v>56120.558375634522</v>
      </c>
    </row>
    <row r="407" spans="71:72">
      <c r="BS407" s="137">
        <v>40.299999999999997</v>
      </c>
      <c r="BT407" s="136">
        <v>56509.803921568622</v>
      </c>
    </row>
    <row r="408" spans="71:72">
      <c r="BS408" s="137">
        <v>40.4</v>
      </c>
      <c r="BT408" s="136">
        <v>56901.413357221063</v>
      </c>
    </row>
    <row r="409" spans="71:72">
      <c r="BS409" s="137">
        <v>40.5</v>
      </c>
      <c r="BT409" s="136">
        <v>57294.814372449488</v>
      </c>
    </row>
    <row r="410" spans="71:72">
      <c r="BS410" s="137">
        <v>40.6</v>
      </c>
      <c r="BT410" s="136">
        <v>57690.206031651236</v>
      </c>
    </row>
    <row r="411" spans="71:72">
      <c r="BS411" s="137">
        <v>40.700000000000003</v>
      </c>
      <c r="BT411" s="136">
        <v>58087.911814471983</v>
      </c>
    </row>
    <row r="412" spans="71:72">
      <c r="BS412" s="137">
        <v>40.799999999999997</v>
      </c>
      <c r="BT412" s="136">
        <v>58487.458942968049</v>
      </c>
    </row>
    <row r="413" spans="71:72">
      <c r="BS413" s="137">
        <v>40.9</v>
      </c>
      <c r="BT413" s="136">
        <v>58889.394844232113</v>
      </c>
    </row>
    <row r="414" spans="71:72">
      <c r="BS414" s="137">
        <v>41</v>
      </c>
      <c r="BT414" s="136">
        <v>59293.296506419822</v>
      </c>
    </row>
    <row r="415" spans="71:72">
      <c r="BS415" s="137">
        <v>41.1</v>
      </c>
      <c r="BT415" s="136">
        <v>59699.562058325871</v>
      </c>
    </row>
    <row r="416" spans="71:72">
      <c r="BS416" s="137">
        <v>41.2</v>
      </c>
      <c r="BT416" s="136">
        <v>60112.123021797546</v>
      </c>
    </row>
    <row r="417" spans="71:72">
      <c r="BS417" s="137">
        <v>41.3</v>
      </c>
      <c r="BT417" s="136">
        <v>60526.251617398229</v>
      </c>
    </row>
    <row r="418" spans="71:72">
      <c r="BS418" s="137">
        <v>41.4</v>
      </c>
      <c r="BT418" s="136">
        <v>60942.395740021893</v>
      </c>
    </row>
    <row r="419" spans="71:72">
      <c r="BS419" s="137">
        <v>41.5</v>
      </c>
      <c r="BT419" s="136">
        <v>61360.032845625559</v>
      </c>
    </row>
    <row r="420" spans="71:72">
      <c r="BS420" s="137">
        <v>41.6</v>
      </c>
      <c r="BT420" s="136">
        <v>61779.337115556889</v>
      </c>
    </row>
    <row r="421" spans="71:72">
      <c r="BS421" s="137">
        <v>41.7</v>
      </c>
      <c r="BT421" s="136">
        <v>62200.582263362194</v>
      </c>
    </row>
    <row r="422" spans="71:72">
      <c r="BS422" s="137">
        <v>41.8</v>
      </c>
      <c r="BT422" s="136">
        <v>62623.27062804818</v>
      </c>
    </row>
    <row r="423" spans="71:72">
      <c r="BS423" s="137">
        <v>41.9</v>
      </c>
      <c r="BT423" s="136">
        <v>63047.924753657811</v>
      </c>
    </row>
    <row r="424" spans="71:72">
      <c r="BS424" s="137">
        <v>42</v>
      </c>
      <c r="BT424" s="136">
        <v>63473.897680899769</v>
      </c>
    </row>
    <row r="425" spans="71:72">
      <c r="BS425" s="137">
        <v>42.1</v>
      </c>
      <c r="BT425" s="136">
        <v>63901.388474171392</v>
      </c>
    </row>
    <row r="426" spans="71:72">
      <c r="BS426" s="137">
        <v>42.2</v>
      </c>
      <c r="BT426" s="136">
        <v>64330.621080919671</v>
      </c>
    </row>
    <row r="427" spans="71:72">
      <c r="BS427" s="137">
        <v>42.3</v>
      </c>
      <c r="BT427" s="136">
        <v>64760.973424902957</v>
      </c>
    </row>
    <row r="428" spans="71:72">
      <c r="BS428" s="137">
        <v>42.4</v>
      </c>
      <c r="BT428" s="136">
        <v>65192.843634915895</v>
      </c>
    </row>
    <row r="429" spans="71:72">
      <c r="BS429" s="137">
        <v>42.5</v>
      </c>
      <c r="BT429" s="136">
        <v>65625.659400816163</v>
      </c>
    </row>
    <row r="430" spans="71:72">
      <c r="BS430" s="137">
        <v>42.6</v>
      </c>
      <c r="BT430" s="136">
        <v>66059.594903951423</v>
      </c>
    </row>
    <row r="431" spans="71:72">
      <c r="BS431" s="137">
        <v>42.7</v>
      </c>
      <c r="BT431" s="136">
        <v>66495.073156166021</v>
      </c>
    </row>
    <row r="432" spans="71:72">
      <c r="BS432" s="137">
        <v>42.8</v>
      </c>
      <c r="BT432" s="136">
        <v>66931.621379516277</v>
      </c>
    </row>
    <row r="433" spans="71:72">
      <c r="BS433" s="137">
        <v>42.9</v>
      </c>
      <c r="BT433" s="136">
        <v>67369.612819747199</v>
      </c>
    </row>
    <row r="434" spans="71:72">
      <c r="BS434" s="137">
        <v>43</v>
      </c>
      <c r="BT434" s="136">
        <v>67808.524932815766</v>
      </c>
    </row>
    <row r="435" spans="71:72">
      <c r="BS435" s="137">
        <v>43.1</v>
      </c>
      <c r="BT435" s="136">
        <v>68248.656315318003</v>
      </c>
    </row>
    <row r="436" spans="71:72">
      <c r="BS436" s="137">
        <v>43.2</v>
      </c>
      <c r="BT436" s="136">
        <v>68690.156265551908</v>
      </c>
    </row>
    <row r="437" spans="71:72">
      <c r="BS437" s="137">
        <v>43.3</v>
      </c>
      <c r="BT437" s="136">
        <v>69132.402707275804</v>
      </c>
    </row>
    <row r="438" spans="71:72">
      <c r="BS438" s="137">
        <v>43.4</v>
      </c>
      <c r="BT438" s="136">
        <v>69575.843535383698</v>
      </c>
    </row>
    <row r="439" spans="71:72">
      <c r="BS439" s="137">
        <v>43.5</v>
      </c>
      <c r="BT439" s="136">
        <v>70019.881556683584</v>
      </c>
    </row>
    <row r="440" spans="71:72">
      <c r="BS440" s="137">
        <v>43.6</v>
      </c>
      <c r="BT440" s="136">
        <v>70464.715835572817</v>
      </c>
    </row>
    <row r="441" spans="71:72">
      <c r="BS441" s="137">
        <v>43.7</v>
      </c>
      <c r="BT441" s="136">
        <v>70910.570319498351</v>
      </c>
    </row>
    <row r="442" spans="71:72">
      <c r="BS442" s="137">
        <v>43.8</v>
      </c>
      <c r="BT442" s="136">
        <v>71356.847815268236</v>
      </c>
    </row>
    <row r="443" spans="71:72">
      <c r="BS443" s="137">
        <v>43.9</v>
      </c>
      <c r="BT443" s="136">
        <v>71804.120633024781</v>
      </c>
    </row>
    <row r="444" spans="71:72">
      <c r="BS444" s="137">
        <v>44</v>
      </c>
      <c r="BT444" s="136">
        <v>72251.766696526334</v>
      </c>
    </row>
    <row r="445" spans="71:72">
      <c r="BS445" s="137">
        <v>44.1</v>
      </c>
      <c r="BT445" s="136">
        <v>72700.034836269537</v>
      </c>
    </row>
    <row r="446" spans="71:72">
      <c r="BS446" s="137">
        <v>44.2</v>
      </c>
      <c r="BT446" s="136">
        <v>73149.173882751056</v>
      </c>
    </row>
    <row r="447" spans="71:72">
      <c r="BS447" s="137">
        <v>44.3</v>
      </c>
      <c r="BT447" s="136">
        <v>73598.611525828601</v>
      </c>
    </row>
    <row r="448" spans="71:72">
      <c r="BS448" s="137">
        <v>44.4</v>
      </c>
      <c r="BT448" s="136">
        <v>74048.845426495463</v>
      </c>
    </row>
    <row r="449" spans="71:72">
      <c r="BS449" s="137">
        <v>44.5</v>
      </c>
      <c r="BT449" s="136">
        <v>74499.303274609323</v>
      </c>
    </row>
    <row r="450" spans="71:72">
      <c r="BS450" s="137">
        <v>44.6</v>
      </c>
      <c r="BT450" s="136">
        <v>74950.283666766205</v>
      </c>
    </row>
    <row r="451" spans="71:72">
      <c r="BS451" s="137">
        <v>44.7</v>
      </c>
      <c r="BT451" s="136">
        <v>75401.985667363391</v>
      </c>
    </row>
    <row r="452" spans="71:72">
      <c r="BS452" s="137">
        <v>44.8</v>
      </c>
      <c r="BT452" s="136">
        <v>75853.936498457246</v>
      </c>
    </row>
    <row r="453" spans="71:72">
      <c r="BS453" s="137">
        <v>44.9</v>
      </c>
      <c r="BT453" s="136">
        <v>76306.584054941777</v>
      </c>
    </row>
    <row r="454" spans="71:72">
      <c r="BS454" s="137">
        <v>45</v>
      </c>
      <c r="BT454" s="136">
        <v>76759.430675823634</v>
      </c>
    </row>
    <row r="455" spans="71:72">
      <c r="BS455" s="137">
        <v>45.1</v>
      </c>
      <c r="BT455" s="136">
        <v>77212.750074649157</v>
      </c>
    </row>
    <row r="456" spans="71:72">
      <c r="BS456" s="137">
        <v>45.2</v>
      </c>
      <c r="BT456" s="136">
        <v>77666.766198865327</v>
      </c>
    </row>
    <row r="457" spans="71:72">
      <c r="BS457" s="137">
        <v>45.3</v>
      </c>
      <c r="BT457" s="136">
        <v>78120.981387478852</v>
      </c>
    </row>
    <row r="458" spans="71:72">
      <c r="BS458" s="137">
        <v>45.4</v>
      </c>
      <c r="BT458" s="136">
        <v>78575.89330148304</v>
      </c>
    </row>
    <row r="459" spans="71:72">
      <c r="BS459" s="137">
        <v>45.5</v>
      </c>
      <c r="BT459" s="136">
        <v>79030.979396834882</v>
      </c>
    </row>
    <row r="460" spans="71:72">
      <c r="BS460" s="137">
        <v>45.6</v>
      </c>
      <c r="BT460" s="136">
        <v>79486.513387080733</v>
      </c>
    </row>
    <row r="461" spans="71:72">
      <c r="BS461" s="137">
        <v>45.7</v>
      </c>
      <c r="BT461" s="136">
        <v>79942.744102717217</v>
      </c>
    </row>
    <row r="462" spans="71:72">
      <c r="BS462" s="137">
        <v>45.8</v>
      </c>
      <c r="BT462" s="136">
        <v>80399.148999701414</v>
      </c>
    </row>
    <row r="463" spans="71:72">
      <c r="BS463" s="137">
        <v>45.9</v>
      </c>
      <c r="BT463" s="136">
        <v>80856.250622076244</v>
      </c>
    </row>
    <row r="464" spans="71:72">
      <c r="BS464" s="137">
        <v>46</v>
      </c>
      <c r="BT464" s="136">
        <v>81313.501542749073</v>
      </c>
    </row>
    <row r="465" spans="71:72">
      <c r="BS465" s="137">
        <v>46.1</v>
      </c>
      <c r="BT465" s="136">
        <v>81771.225241365581</v>
      </c>
    </row>
    <row r="466" spans="71:72">
      <c r="BS466" s="137">
        <v>46.2</v>
      </c>
      <c r="BT466" s="136">
        <v>82229.645665372736</v>
      </c>
    </row>
    <row r="467" spans="71:72">
      <c r="BS467" s="137">
        <v>46.3</v>
      </c>
      <c r="BT467" s="136">
        <v>82688.215387677905</v>
      </c>
    </row>
    <row r="468" spans="71:72">
      <c r="BS468" s="137">
        <v>46.4</v>
      </c>
      <c r="BT468" s="136">
        <v>83147.531601473078</v>
      </c>
    </row>
    <row r="469" spans="71:72">
      <c r="BS469" s="137">
        <v>46.5</v>
      </c>
      <c r="BT469" s="136">
        <v>83606.997113566249</v>
      </c>
    </row>
    <row r="470" spans="71:72">
      <c r="BS470" s="137">
        <v>46.6</v>
      </c>
      <c r="BT470" s="136">
        <v>84066.885637503743</v>
      </c>
    </row>
    <row r="471" spans="71:72">
      <c r="BS471" s="137">
        <v>46.7</v>
      </c>
      <c r="BT471" s="136">
        <v>84527.520652931227</v>
      </c>
    </row>
    <row r="472" spans="71:72">
      <c r="BS472" s="137">
        <v>46.8</v>
      </c>
      <c r="BT472" s="136">
        <v>84988.304966656709</v>
      </c>
    </row>
    <row r="473" spans="71:72">
      <c r="BS473" s="137">
        <v>46.9</v>
      </c>
      <c r="BT473" s="136">
        <v>85449.786005772869</v>
      </c>
    </row>
    <row r="474" spans="71:72">
      <c r="BS474" s="137">
        <v>47</v>
      </c>
      <c r="BT474" s="136">
        <v>85911.466109286353</v>
      </c>
    </row>
    <row r="475" spans="71:72">
      <c r="BS475" s="137">
        <v>47.1</v>
      </c>
      <c r="BT475" s="136">
        <v>86373.569224644161</v>
      </c>
    </row>
    <row r="476" spans="71:72">
      <c r="BS476" s="137">
        <v>47.2</v>
      </c>
      <c r="BT476" s="136">
        <v>86836.418831491988</v>
      </c>
    </row>
    <row r="477" spans="71:72">
      <c r="BS477" s="137">
        <v>47.3</v>
      </c>
      <c r="BT477" s="136">
        <v>87299.467502737156</v>
      </c>
    </row>
    <row r="478" spans="71:72">
      <c r="BS478" s="137">
        <v>47.4</v>
      </c>
      <c r="BT478" s="136">
        <v>87763.237782422628</v>
      </c>
    </row>
    <row r="479" spans="71:72">
      <c r="BS479" s="137">
        <v>47.5</v>
      </c>
      <c r="BT479" s="136">
        <v>88227.207126505426</v>
      </c>
    </row>
    <row r="480" spans="71:72">
      <c r="BS480" s="137">
        <v>47.6</v>
      </c>
      <c r="BT480" s="136">
        <v>88691.649248531903</v>
      </c>
    </row>
    <row r="481" spans="71:72">
      <c r="BS481" s="137">
        <v>47.7</v>
      </c>
      <c r="BT481" s="136">
        <v>89156.837862048371</v>
      </c>
    </row>
    <row r="482" spans="71:72">
      <c r="BS482" s="137">
        <v>47.8</v>
      </c>
      <c r="BT482" s="136">
        <v>89622.250423011836</v>
      </c>
    </row>
    <row r="483" spans="71:72">
      <c r="BS483" s="137">
        <v>47.9</v>
      </c>
      <c r="BT483" s="136">
        <v>90088.434358514976</v>
      </c>
    </row>
    <row r="484" spans="71:72">
      <c r="BS484" s="137">
        <v>48</v>
      </c>
      <c r="BT484" s="136">
        <v>90554.817358415443</v>
      </c>
    </row>
    <row r="485" spans="71:72">
      <c r="BS485" s="137">
        <v>48.1</v>
      </c>
      <c r="BT485" s="136">
        <v>91021.698019309246</v>
      </c>
    </row>
    <row r="486" spans="71:72">
      <c r="BS486" s="137">
        <v>48.2</v>
      </c>
      <c r="BT486" s="136">
        <v>91489.374937792381</v>
      </c>
    </row>
    <row r="487" spans="71:72">
      <c r="BS487" s="137">
        <v>48.3</v>
      </c>
      <c r="BT487" s="136">
        <v>91957.300686772185</v>
      </c>
    </row>
    <row r="488" spans="71:72">
      <c r="BS488" s="137">
        <v>48.4</v>
      </c>
      <c r="BT488" s="136">
        <v>92425.997810291636</v>
      </c>
    </row>
    <row r="489" spans="71:72">
      <c r="BS489" s="137">
        <v>48.5</v>
      </c>
      <c r="BT489" s="136">
        <v>92894.943764307754</v>
      </c>
    </row>
    <row r="490" spans="71:72">
      <c r="BS490" s="137">
        <v>48.6</v>
      </c>
      <c r="BT490" s="136">
        <v>93364.412262366881</v>
      </c>
    </row>
    <row r="491" spans="71:72">
      <c r="BS491" s="137">
        <v>48.7</v>
      </c>
      <c r="BT491" s="136">
        <v>93834.701901064996</v>
      </c>
    </row>
    <row r="492" spans="71:72">
      <c r="BS492" s="137">
        <v>48.8</v>
      </c>
      <c r="BT492" s="136">
        <v>94305.265253309452</v>
      </c>
    </row>
    <row r="493" spans="71:72">
      <c r="BS493" s="137">
        <v>48.9</v>
      </c>
      <c r="BT493" s="136">
        <v>94776.699512292224</v>
      </c>
    </row>
    <row r="494" spans="71:72">
      <c r="BS494" s="137">
        <v>49</v>
      </c>
      <c r="BT494" s="136">
        <v>95248.382601771664</v>
      </c>
    </row>
    <row r="495" spans="71:72">
      <c r="BS495" s="137">
        <v>49.1</v>
      </c>
      <c r="BT495" s="136">
        <v>95720.662884443125</v>
      </c>
    </row>
    <row r="496" spans="71:72">
      <c r="BS496" s="137">
        <v>49.2</v>
      </c>
      <c r="BT496" s="136">
        <v>96193.814073852904</v>
      </c>
    </row>
    <row r="497" spans="71:72">
      <c r="BS497" s="137">
        <v>49.3</v>
      </c>
      <c r="BT497" s="136">
        <v>96667.263859858664</v>
      </c>
    </row>
    <row r="498" spans="71:72">
      <c r="BS498" s="137">
        <v>49.4</v>
      </c>
      <c r="BT498" s="136">
        <v>97141.634318702098</v>
      </c>
    </row>
    <row r="499" spans="71:72">
      <c r="BS499" s="137">
        <v>49.5</v>
      </c>
      <c r="BT499" s="136">
        <v>97616.328257191213</v>
      </c>
    </row>
    <row r="500" spans="71:72">
      <c r="BS500" s="137">
        <v>49.6</v>
      </c>
      <c r="BT500" s="136">
        <v>98091.669154971634</v>
      </c>
    </row>
    <row r="501" spans="71:72">
      <c r="BS501" s="137">
        <v>49.7</v>
      </c>
      <c r="BT501" s="136">
        <v>98567.955608639386</v>
      </c>
    </row>
    <row r="502" spans="71:72">
      <c r="BS502" s="137">
        <v>49.8</v>
      </c>
      <c r="BT502" s="136">
        <v>99044.640191101818</v>
      </c>
    </row>
    <row r="503" spans="71:72">
      <c r="BS503" s="137">
        <v>49.9</v>
      </c>
      <c r="BT503" s="136">
        <v>99522.34497860058</v>
      </c>
    </row>
    <row r="504" spans="71:72" ht="15.75" thickBot="1">
      <c r="BS504" s="138">
        <v>50</v>
      </c>
      <c r="BT504" s="139">
        <v>100000</v>
      </c>
    </row>
  </sheetData>
  <sheetProtection sort="0" autoFilter="0" pivotTables="0"/>
  <mergeCells count="9">
    <mergeCell ref="D57:T58"/>
    <mergeCell ref="AD3:AE3"/>
    <mergeCell ref="AJ3:AL3"/>
    <mergeCell ref="AY18:AY19"/>
    <mergeCell ref="Q22:Q23"/>
    <mergeCell ref="R22:T23"/>
    <mergeCell ref="AU34:AU35"/>
    <mergeCell ref="AF3:AI3"/>
    <mergeCell ref="AN2:AN3"/>
  </mergeCells>
  <conditionalFormatting sqref="T5">
    <cfRule type="iconSet" priority="4">
      <iconSet>
        <cfvo type="percent" val="0"/>
        <cfvo type="num" val="6.1"/>
        <cfvo type="num" val="18.100000000000001"/>
      </iconSet>
    </cfRule>
    <cfRule type="cellIs" dxfId="4" priority="5" operator="between">
      <formula>6.1</formula>
      <formula>18.1</formula>
    </cfRule>
    <cfRule type="cellIs" dxfId="3" priority="6" operator="lessThanOrEqual">
      <formula>6</formula>
    </cfRule>
  </conditionalFormatting>
  <conditionalFormatting sqref="AX20:AX31">
    <cfRule type="expression" dxfId="2" priority="3">
      <formula>AX20&lt;&gt;AW20</formula>
    </cfRule>
  </conditionalFormatting>
  <pageMargins left="1.1499999999999999" right="1.1499999999999999" top="0.5" bottom="0.5" header="0.25" footer="0.25"/>
  <pageSetup scale="55" orientation="landscape" r:id="rId1"/>
  <headerFooter>
    <oddHeader>&amp;C&amp;"-,Bold"&amp;18ERCOT Drought Risk Prediction Tool</oddHeader>
    <oddFooter>&amp;LERCOT Confidential&amp;C&amp;P&amp;R&amp;D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17</xdr:col>
                    <xdr:colOff>0</xdr:colOff>
                    <xdr:row>24</xdr:row>
                    <xdr:rowOff>180975</xdr:rowOff>
                  </from>
                  <to>
                    <xdr:col>18</xdr:col>
                    <xdr:colOff>0</xdr:colOff>
                    <xdr:row>26</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17</xdr:col>
                    <xdr:colOff>0</xdr:colOff>
                    <xdr:row>25</xdr:row>
                    <xdr:rowOff>152400</xdr:rowOff>
                  </from>
                  <to>
                    <xdr:col>18</xdr:col>
                    <xdr:colOff>0</xdr:colOff>
                    <xdr:row>27</xdr:row>
                    <xdr:rowOff>38100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17</xdr:col>
                    <xdr:colOff>0</xdr:colOff>
                    <xdr:row>26</xdr:row>
                    <xdr:rowOff>171450</xdr:rowOff>
                  </from>
                  <to>
                    <xdr:col>18</xdr:col>
                    <xdr:colOff>0</xdr:colOff>
                    <xdr:row>28</xdr:row>
                    <xdr:rowOff>57150</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17</xdr:col>
                    <xdr:colOff>0</xdr:colOff>
                    <xdr:row>27</xdr:row>
                    <xdr:rowOff>190500</xdr:rowOff>
                  </from>
                  <to>
                    <xdr:col>18</xdr:col>
                    <xdr:colOff>0</xdr:colOff>
                    <xdr:row>29</xdr:row>
                    <xdr:rowOff>57150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17</xdr:col>
                    <xdr:colOff>0</xdr:colOff>
                    <xdr:row>28</xdr:row>
                    <xdr:rowOff>180975</xdr:rowOff>
                  </from>
                  <to>
                    <xdr:col>18</xdr:col>
                    <xdr:colOff>0</xdr:colOff>
                    <xdr:row>30</xdr:row>
                    <xdr:rowOff>47625</xdr:rowOff>
                  </to>
                </anchor>
              </controlPr>
            </control>
          </mc:Choice>
        </mc:AlternateContent>
        <mc:AlternateContent xmlns:mc="http://schemas.openxmlformats.org/markup-compatibility/2006">
          <mc:Choice Requires="x14">
            <control shapeId="2054" r:id="rId9" name="Group Box 6">
              <controlPr defaultSize="0" autoFill="0" autoPict="0">
                <anchor moveWithCells="1">
                  <from>
                    <xdr:col>17</xdr:col>
                    <xdr:colOff>0</xdr:colOff>
                    <xdr:row>30</xdr:row>
                    <xdr:rowOff>123825</xdr:rowOff>
                  </from>
                  <to>
                    <xdr:col>18</xdr:col>
                    <xdr:colOff>47625</xdr:colOff>
                    <xdr:row>37</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pageSetUpPr fitToPage="1"/>
  </sheetPr>
  <dimension ref="A1:BE1301"/>
  <sheetViews>
    <sheetView showGridLines="0" topLeftCell="U1" zoomScale="80" zoomScaleNormal="80" workbookViewId="0">
      <selection activeCell="AK4" sqref="AK4:AM4"/>
    </sheetView>
  </sheetViews>
  <sheetFormatPr defaultRowHeight="15"/>
  <cols>
    <col min="1" max="6" width="9.140625" style="1"/>
    <col min="7" max="7" width="10.5703125" style="1" bestFit="1" customWidth="1"/>
    <col min="8" max="16" width="9.140625" style="1"/>
    <col min="17" max="17" width="26.42578125" style="1" customWidth="1"/>
    <col min="18" max="18" width="13" style="2" bestFit="1" customWidth="1"/>
    <col min="19" max="19" width="14.28515625" style="2" bestFit="1" customWidth="1"/>
    <col min="20" max="20" width="13" style="1" bestFit="1" customWidth="1"/>
    <col min="21" max="21" width="4.7109375" style="1" customWidth="1"/>
    <col min="22" max="22" width="32" style="1" customWidth="1"/>
    <col min="23" max="23" width="11.85546875" style="1" bestFit="1" customWidth="1"/>
    <col min="24" max="24" width="9.140625" style="1"/>
    <col min="25" max="25" width="13.7109375" style="3" bestFit="1" customWidth="1"/>
    <col min="26" max="26" width="17" style="1" bestFit="1" customWidth="1"/>
    <col min="27" max="27" width="16.7109375" style="1" bestFit="1" customWidth="1"/>
    <col min="28" max="28" width="30.140625" style="1" customWidth="1"/>
    <col min="29" max="29" width="11.7109375" style="1" bestFit="1" customWidth="1"/>
    <col min="30" max="30" width="12.85546875" style="1" bestFit="1" customWidth="1"/>
    <col min="31" max="31" width="16" style="1" bestFit="1" customWidth="1"/>
    <col min="32" max="32" width="14.85546875" style="1" customWidth="1"/>
    <col min="33" max="33" width="21.5703125" style="1" bestFit="1" customWidth="1"/>
    <col min="34" max="34" width="38.140625" style="1" customWidth="1"/>
    <col min="35" max="35" width="11.28515625" style="1" bestFit="1" customWidth="1"/>
    <col min="36" max="36" width="11.28515625" style="1" customWidth="1"/>
    <col min="37" max="37" width="12" style="1" customWidth="1"/>
    <col min="38" max="39" width="11.5703125" style="1" customWidth="1"/>
    <col min="40" max="40" width="13.7109375" style="1" bestFit="1" customWidth="1"/>
    <col min="41" max="41" width="17" style="1" bestFit="1" customWidth="1"/>
    <col min="42" max="42" width="17.140625" style="1" customWidth="1"/>
    <col min="43" max="43" width="13.7109375" style="1" bestFit="1" customWidth="1"/>
    <col min="44" max="44" width="16.7109375" style="1" bestFit="1" customWidth="1"/>
    <col min="45" max="45" width="24.85546875" style="1" customWidth="1"/>
    <col min="46" max="48" width="0" style="1" hidden="1" customWidth="1"/>
    <col min="49" max="49" width="9.140625" style="1" hidden="1" customWidth="1"/>
    <col min="50" max="50" width="16.28515625" style="1" hidden="1" customWidth="1"/>
    <col min="51" max="51" width="14" style="1" hidden="1" customWidth="1"/>
    <col min="52" max="52" width="9.140625" style="1" hidden="1" customWidth="1"/>
    <col min="53" max="53" width="28.42578125" style="1" customWidth="1"/>
    <col min="54" max="54" width="10.7109375" style="1" customWidth="1"/>
    <col min="55" max="55" width="12.85546875" style="1" bestFit="1" customWidth="1"/>
    <col min="56" max="56" width="16" style="1" bestFit="1" customWidth="1"/>
    <col min="57" max="57" width="12.85546875" style="1" bestFit="1" customWidth="1"/>
    <col min="58" max="16372" width="9.140625" style="1" customWidth="1"/>
    <col min="16373" max="16384" width="9.140625" style="1"/>
  </cols>
  <sheetData>
    <row r="1" spans="1:57" ht="17.25" thickBot="1">
      <c r="AI1" s="4"/>
      <c r="AJ1" s="4"/>
      <c r="AK1" s="4"/>
      <c r="AL1" s="5"/>
      <c r="AP1" s="6"/>
    </row>
    <row r="2" spans="1:57" ht="19.5" thickBot="1">
      <c r="B2" s="7"/>
      <c r="C2" s="8"/>
      <c r="D2" s="8"/>
      <c r="E2" s="8"/>
      <c r="F2" s="8"/>
      <c r="G2" s="8"/>
      <c r="H2" s="8"/>
      <c r="I2" s="8"/>
      <c r="J2" s="8"/>
      <c r="K2" s="8"/>
      <c r="L2" s="8"/>
      <c r="M2" s="8"/>
      <c r="N2" s="8"/>
      <c r="O2" s="8"/>
      <c r="P2" s="8"/>
      <c r="Q2" s="8"/>
      <c r="R2" s="9"/>
      <c r="S2" s="9"/>
      <c r="T2" s="8"/>
      <c r="U2" s="10"/>
      <c r="W2" s="114" t="s">
        <v>74</v>
      </c>
      <c r="X2" s="8"/>
      <c r="Y2" s="115"/>
      <c r="Z2" s="8"/>
      <c r="AA2" s="128"/>
      <c r="AC2" s="316" t="s">
        <v>62</v>
      </c>
      <c r="AD2" s="317"/>
      <c r="AE2" s="317"/>
      <c r="AF2" s="317"/>
      <c r="AG2" s="318" t="s">
        <v>70</v>
      </c>
      <c r="AH2" s="12"/>
      <c r="AI2" s="117" t="s">
        <v>40</v>
      </c>
      <c r="AJ2" s="280"/>
      <c r="AK2" s="280"/>
      <c r="AL2" s="8"/>
      <c r="AM2" s="8"/>
      <c r="AN2" s="8"/>
      <c r="AO2" s="8"/>
      <c r="AP2" s="281"/>
      <c r="AQ2" s="8"/>
      <c r="AR2" s="116"/>
      <c r="BB2" s="270" t="s">
        <v>64</v>
      </c>
      <c r="BC2" s="271"/>
      <c r="BD2" s="271"/>
      <c r="BE2" s="272"/>
    </row>
    <row r="3" spans="1:57" ht="17.25" thickBot="1">
      <c r="B3" s="11"/>
      <c r="C3" s="12"/>
      <c r="D3" s="12"/>
      <c r="E3" s="12"/>
      <c r="F3" s="12"/>
      <c r="G3" s="12"/>
      <c r="H3" s="12"/>
      <c r="I3" s="12"/>
      <c r="J3" s="12"/>
      <c r="K3" s="12"/>
      <c r="L3" s="12"/>
      <c r="M3" s="12"/>
      <c r="N3" s="12"/>
      <c r="O3" s="12"/>
      <c r="P3" s="12"/>
      <c r="Q3" s="30" t="s">
        <v>2</v>
      </c>
      <c r="R3" s="15" t="s">
        <v>8</v>
      </c>
      <c r="S3"/>
      <c r="U3" s="16"/>
      <c r="W3" s="143" t="s">
        <v>3</v>
      </c>
      <c r="X3" s="144" t="s">
        <v>4</v>
      </c>
      <c r="Y3" s="145" t="s">
        <v>67</v>
      </c>
      <c r="Z3" s="146" t="s">
        <v>68</v>
      </c>
      <c r="AA3" s="147" t="s">
        <v>69</v>
      </c>
      <c r="AC3" s="314"/>
      <c r="AD3" s="363" t="s">
        <v>65</v>
      </c>
      <c r="AE3" s="365"/>
      <c r="AF3" s="390" t="s">
        <v>85</v>
      </c>
      <c r="AG3" s="391"/>
      <c r="AH3" s="12"/>
      <c r="AI3" s="282"/>
      <c r="AJ3" s="283"/>
      <c r="AK3" s="303" t="s">
        <v>0</v>
      </c>
      <c r="AL3" s="304"/>
      <c r="AM3" s="307" t="s">
        <v>1</v>
      </c>
      <c r="AO3" s="306" t="s">
        <v>84</v>
      </c>
      <c r="AP3" s="305">
        <f>INDEX(Y4:Y39,COUNTA(Y4:Y39))</f>
        <v>69.5</v>
      </c>
      <c r="AR3" s="284"/>
      <c r="BB3" s="13" t="s">
        <v>75</v>
      </c>
      <c r="BC3" s="273" t="s">
        <v>67</v>
      </c>
      <c r="BD3" s="273" t="s">
        <v>72</v>
      </c>
      <c r="BE3" s="142" t="s">
        <v>67</v>
      </c>
    </row>
    <row r="4" spans="1:57" ht="15.75" thickBot="1">
      <c r="B4" s="11"/>
      <c r="C4" s="12"/>
      <c r="D4" s="12"/>
      <c r="E4" s="12"/>
      <c r="F4" s="12"/>
      <c r="G4" s="12"/>
      <c r="H4" s="12"/>
      <c r="I4" s="12"/>
      <c r="J4" s="12"/>
      <c r="K4" s="12"/>
      <c r="L4" s="12"/>
      <c r="M4" s="12"/>
      <c r="N4" s="12"/>
      <c r="O4" s="12"/>
      <c r="P4" s="12"/>
      <c r="Q4" s="255" t="s">
        <v>9</v>
      </c>
      <c r="R4" s="256">
        <f>COUNTIF(AF8:AF52,"&gt;0")</f>
        <v>25</v>
      </c>
      <c r="S4"/>
      <c r="U4" s="22"/>
      <c r="V4" s="17"/>
      <c r="W4" s="148">
        <v>41640</v>
      </c>
      <c r="X4" s="149">
        <v>1</v>
      </c>
      <c r="Y4" s="150">
        <v>69.5</v>
      </c>
      <c r="Z4" s="151">
        <f t="shared" ref="Z4:Z39" si="0">VLOOKUP(Y4,$BC$4:$BD$1905,2)</f>
        <v>13650</v>
      </c>
      <c r="AA4" s="152"/>
      <c r="AC4" s="166" t="s">
        <v>35</v>
      </c>
      <c r="AD4" s="167" t="s">
        <v>63</v>
      </c>
      <c r="AE4" s="172" t="s">
        <v>101</v>
      </c>
      <c r="AF4" s="170" t="s">
        <v>5</v>
      </c>
      <c r="AG4" s="315" t="s">
        <v>102</v>
      </c>
      <c r="AH4" s="12"/>
      <c r="AI4" s="293"/>
      <c r="AJ4" s="294"/>
      <c r="AK4" s="389" t="s">
        <v>79</v>
      </c>
      <c r="AL4" s="389"/>
      <c r="AM4" s="389"/>
      <c r="AN4" s="390" t="s">
        <v>81</v>
      </c>
      <c r="AO4" s="391"/>
      <c r="AP4" s="295" t="s">
        <v>82</v>
      </c>
      <c r="AQ4" s="296"/>
      <c r="AR4" s="302" t="s">
        <v>8</v>
      </c>
      <c r="AX4" s="277" t="s">
        <v>78</v>
      </c>
      <c r="AY4" s="141"/>
      <c r="BB4" s="268">
        <v>20</v>
      </c>
      <c r="BC4" s="269">
        <v>70</v>
      </c>
      <c r="BD4" s="266">
        <f>R20</f>
        <v>14000</v>
      </c>
      <c r="BE4" s="267">
        <f>BC4</f>
        <v>70</v>
      </c>
    </row>
    <row r="5" spans="1:57" ht="15.75" thickBot="1">
      <c r="B5" s="11"/>
      <c r="C5" s="12"/>
      <c r="D5" s="12"/>
      <c r="E5" s="12"/>
      <c r="F5" s="12"/>
      <c r="G5" s="12"/>
      <c r="H5" s="12"/>
      <c r="I5" s="12"/>
      <c r="J5" s="12"/>
      <c r="K5" s="12"/>
      <c r="L5" s="12"/>
      <c r="M5" s="12"/>
      <c r="N5" s="12"/>
      <c r="O5" s="12"/>
      <c r="P5" s="12"/>
      <c r="Q5" s="257" t="s">
        <v>98</v>
      </c>
      <c r="R5" s="258">
        <f>COUNTIF(AG8:AG52,"No")</f>
        <v>12</v>
      </c>
      <c r="S5"/>
      <c r="U5" s="27"/>
      <c r="V5" s="28"/>
      <c r="W5" s="153">
        <f t="shared" ref="W5:W39" si="1">DATE(YEAR(W4),MONTH(W4)+1,DAY(W4))</f>
        <v>41671</v>
      </c>
      <c r="X5" s="154">
        <v>2</v>
      </c>
      <c r="Y5" s="155">
        <v>69.5</v>
      </c>
      <c r="Z5" s="156">
        <f t="shared" si="0"/>
        <v>13650</v>
      </c>
      <c r="AA5" s="157">
        <f t="shared" ref="AA5:AA22" si="2">Z5-Z4</f>
        <v>0</v>
      </c>
      <c r="AC5" s="173">
        <f>DATE(YEAR(AC7),MONTH(AC7)-2,DAY(AC7))</f>
        <v>42339</v>
      </c>
      <c r="AD5" s="174">
        <f>R20</f>
        <v>14000</v>
      </c>
      <c r="AE5" s="312">
        <f>AD5*Q24</f>
        <v>7000</v>
      </c>
      <c r="AF5" s="177">
        <f>VLOOKUP(AC5,W:Z,4,FALSE)</f>
        <v>13650</v>
      </c>
      <c r="AG5" s="181" t="str">
        <f t="shared" ref="AG5:AG52" si="3">IF(AF5&gt;AE5,"No","Yes")</f>
        <v>No</v>
      </c>
      <c r="AH5" s="113"/>
      <c r="AI5" s="297" t="s">
        <v>73</v>
      </c>
      <c r="AJ5" s="298" t="s">
        <v>4</v>
      </c>
      <c r="AK5" s="299" t="s">
        <v>11</v>
      </c>
      <c r="AL5" s="300" t="s">
        <v>1</v>
      </c>
      <c r="AM5" s="298" t="s">
        <v>12</v>
      </c>
      <c r="AN5" s="297" t="s">
        <v>67</v>
      </c>
      <c r="AO5" s="301" t="s">
        <v>80</v>
      </c>
      <c r="AP5" s="298" t="s">
        <v>80</v>
      </c>
      <c r="AQ5" s="301" t="s">
        <v>67</v>
      </c>
      <c r="AR5" s="301" t="s">
        <v>83</v>
      </c>
      <c r="AX5" s="276" t="s">
        <v>11</v>
      </c>
      <c r="AY5" s="141">
        <v>1</v>
      </c>
      <c r="BC5" s="265">
        <f>BC4-BB4</f>
        <v>50</v>
      </c>
      <c r="BD5" s="259">
        <v>0</v>
      </c>
      <c r="BE5" s="260">
        <f>BC5</f>
        <v>50</v>
      </c>
    </row>
    <row r="6" spans="1:57" ht="15.75" thickBot="1">
      <c r="B6" s="11"/>
      <c r="C6" s="12"/>
      <c r="D6" s="12"/>
      <c r="E6" s="12"/>
      <c r="F6" s="12"/>
      <c r="G6" s="12"/>
      <c r="H6" s="12"/>
      <c r="I6" s="12"/>
      <c r="J6" s="12"/>
      <c r="K6" s="12"/>
      <c r="L6" s="12"/>
      <c r="M6" s="12"/>
      <c r="N6" s="12"/>
      <c r="O6" s="12"/>
      <c r="P6" s="12"/>
      <c r="Q6" s="12"/>
      <c r="R6" s="23"/>
      <c r="S6" s="23"/>
      <c r="T6" s="12"/>
      <c r="U6" s="27"/>
      <c r="V6" s="29"/>
      <c r="W6" s="153">
        <f t="shared" si="1"/>
        <v>41699</v>
      </c>
      <c r="X6" s="154">
        <f>MONTH(W6)</f>
        <v>3</v>
      </c>
      <c r="Y6" s="155">
        <v>69.5</v>
      </c>
      <c r="Z6" s="156">
        <f t="shared" si="0"/>
        <v>13650</v>
      </c>
      <c r="AA6" s="157">
        <f t="shared" si="2"/>
        <v>0</v>
      </c>
      <c r="AC6" s="182">
        <f>DATE(YEAR(AC7),MONTH(AC7)-1,DAY(AC7))</f>
        <v>42370</v>
      </c>
      <c r="AD6" s="183">
        <f>R20</f>
        <v>14000</v>
      </c>
      <c r="AE6" s="308">
        <f>AD6*Q24</f>
        <v>7000</v>
      </c>
      <c r="AF6" s="186">
        <f>VLOOKUP(AC6,W:Z,4,FALSE)</f>
        <v>13650</v>
      </c>
      <c r="AG6" s="190" t="str">
        <f t="shared" si="3"/>
        <v>No</v>
      </c>
      <c r="AH6" s="113"/>
      <c r="AI6" s="93">
        <v>1</v>
      </c>
      <c r="AJ6" s="291" t="s">
        <v>10</v>
      </c>
      <c r="AK6" s="292">
        <f>2.6/12</f>
        <v>0.21666666666666667</v>
      </c>
      <c r="AL6" s="292">
        <f>3/12</f>
        <v>0.25</v>
      </c>
      <c r="AM6" s="292">
        <f>4.2/12</f>
        <v>0.35000000000000003</v>
      </c>
      <c r="AN6" s="335">
        <f>AP3-IF($AY$8=1,AK6,IF($AY$8=2,AL6,IF($AY$8=3,AM6,"#N/A")))</f>
        <v>69.25</v>
      </c>
      <c r="AO6" s="349">
        <f>VLOOKUP(AN6,BC5:BD601,2)</f>
        <v>13440</v>
      </c>
      <c r="AP6" s="336">
        <f t="shared" ref="AP6:AP19" si="4">AO6-SUM($R$14:$R$17)</f>
        <v>13407.739856560207</v>
      </c>
      <c r="AQ6" s="337">
        <f t="shared" ref="AQ6:AQ19" si="5">VLOOKUP(AP6,$BD$4:$BE$1905,2)</f>
        <v>69.099999999999909</v>
      </c>
      <c r="AR6" s="338"/>
      <c r="AX6" s="120" t="s">
        <v>1</v>
      </c>
      <c r="AY6" s="121">
        <v>2</v>
      </c>
      <c r="BC6" s="261">
        <f>BC5+0.1</f>
        <v>50.1</v>
      </c>
      <c r="BD6" s="259">
        <f t="shared" ref="BD6:BD69" si="6">BD5+($BD$4/($BB$4*10))</f>
        <v>70</v>
      </c>
      <c r="BE6" s="260">
        <f t="shared" ref="BE6:BE69" si="7">BC6</f>
        <v>50.1</v>
      </c>
    </row>
    <row r="7" spans="1:57" ht="15.75" thickBot="1">
      <c r="B7" s="11"/>
      <c r="C7" s="12"/>
      <c r="D7" s="12"/>
      <c r="E7" s="12"/>
      <c r="F7" s="12"/>
      <c r="G7" s="12"/>
      <c r="H7" s="12"/>
      <c r="I7" s="12"/>
      <c r="J7" s="12"/>
      <c r="K7" s="12"/>
      <c r="L7" s="12"/>
      <c r="M7" s="12"/>
      <c r="N7" s="12"/>
      <c r="O7" s="12"/>
      <c r="P7" s="12"/>
      <c r="Q7" s="30" t="s">
        <v>16</v>
      </c>
      <c r="R7" s="31" t="s">
        <v>17</v>
      </c>
      <c r="S7" s="31" t="s">
        <v>18</v>
      </c>
      <c r="T7" s="15" t="s">
        <v>19</v>
      </c>
      <c r="U7" s="27"/>
      <c r="W7" s="153">
        <f t="shared" si="1"/>
        <v>41730</v>
      </c>
      <c r="X7" s="154">
        <f t="shared" ref="X7:X39" si="8">MONTH(W7)</f>
        <v>4</v>
      </c>
      <c r="Y7" s="155">
        <v>69.5</v>
      </c>
      <c r="Z7" s="156">
        <f t="shared" si="0"/>
        <v>13650</v>
      </c>
      <c r="AA7" s="157">
        <f t="shared" si="2"/>
        <v>0</v>
      </c>
      <c r="AC7" s="191">
        <f>INDEX(W4:W39,COUNTA(Y4:Y39))</f>
        <v>42401</v>
      </c>
      <c r="AD7" s="192">
        <f>R20</f>
        <v>14000</v>
      </c>
      <c r="AE7" s="309">
        <f>AD7*Q24</f>
        <v>7000</v>
      </c>
      <c r="AF7" s="195">
        <f>VLOOKUP(AC7,W:Z,4,FALSE)</f>
        <v>13650</v>
      </c>
      <c r="AG7" s="199" t="str">
        <f t="shared" si="3"/>
        <v>No</v>
      </c>
      <c r="AH7" s="113"/>
      <c r="AI7" s="285">
        <v>2</v>
      </c>
      <c r="AJ7" s="286" t="s">
        <v>13</v>
      </c>
      <c r="AK7" s="287">
        <f>3.2/12</f>
        <v>0.26666666666666666</v>
      </c>
      <c r="AL7" s="287">
        <f>4/12</f>
        <v>0.33333333333333331</v>
      </c>
      <c r="AM7" s="287">
        <f>5/12</f>
        <v>0.41666666666666669</v>
      </c>
      <c r="AN7" s="339">
        <f t="shared" ref="AN7:AN19" si="9">AQ6-IF($AY$8=1,AK7,IF($AY$8=2,AL7,IF($AY$8=3,AM7,"#N/A")))</f>
        <v>68.76666666666658</v>
      </c>
      <c r="AO7" s="157">
        <f t="shared" ref="AO7:AO19" si="10">VLOOKUP(AN7,$BC$4:$BD$1905,2)</f>
        <v>13090</v>
      </c>
      <c r="AP7" s="340">
        <f t="shared" si="4"/>
        <v>13057.739856560207</v>
      </c>
      <c r="AQ7" s="341">
        <f t="shared" si="5"/>
        <v>68.599999999999937</v>
      </c>
      <c r="AR7" s="342">
        <f>AP7-AP6</f>
        <v>-350</v>
      </c>
      <c r="AX7" s="120" t="s">
        <v>12</v>
      </c>
      <c r="AY7" s="121">
        <v>3</v>
      </c>
      <c r="BC7" s="261">
        <f t="shared" ref="BC7:BC70" si="11">BC6+0.1</f>
        <v>50.2</v>
      </c>
      <c r="BD7" s="259">
        <f t="shared" si="6"/>
        <v>140</v>
      </c>
      <c r="BE7" s="260">
        <f t="shared" si="7"/>
        <v>50.2</v>
      </c>
    </row>
    <row r="8" spans="1:57" ht="15.75" thickBot="1">
      <c r="B8" s="11"/>
      <c r="C8" s="12"/>
      <c r="D8" s="12"/>
      <c r="E8" s="12"/>
      <c r="F8" s="12"/>
      <c r="G8" s="12"/>
      <c r="H8" s="12"/>
      <c r="I8" s="12"/>
      <c r="J8" s="12"/>
      <c r="K8" s="12"/>
      <c r="L8" s="12"/>
      <c r="M8" s="12"/>
      <c r="N8" s="12"/>
      <c r="O8" s="12"/>
      <c r="P8" s="12"/>
      <c r="Q8" s="36" t="s">
        <v>59</v>
      </c>
      <c r="R8" s="37">
        <v>300</v>
      </c>
      <c r="S8" s="38">
        <v>0.1</v>
      </c>
      <c r="T8" s="35">
        <v>262800</v>
      </c>
      <c r="U8" s="27"/>
      <c r="W8" s="153">
        <f t="shared" si="1"/>
        <v>41760</v>
      </c>
      <c r="X8" s="154">
        <f t="shared" si="8"/>
        <v>5</v>
      </c>
      <c r="Y8" s="155">
        <v>69.5</v>
      </c>
      <c r="Z8" s="156">
        <f t="shared" si="0"/>
        <v>13650</v>
      </c>
      <c r="AA8" s="157">
        <f t="shared" si="2"/>
        <v>0</v>
      </c>
      <c r="AC8" s="310">
        <f>DATE(YEAR(AC7),MONTH(AC7)+1,DAY(AC7))</f>
        <v>42430</v>
      </c>
      <c r="AD8" s="311">
        <f>R20</f>
        <v>14000</v>
      </c>
      <c r="AE8" s="313">
        <f>AD8*Q24</f>
        <v>7000</v>
      </c>
      <c r="AF8" s="347">
        <f t="shared" ref="AF8:AF17" si="12">AF7+VLOOKUP((MONTH(AC8)),$AI$7:$AR$18,10)</f>
        <v>13160</v>
      </c>
      <c r="AG8" s="348" t="str">
        <f t="shared" si="3"/>
        <v>No</v>
      </c>
      <c r="AH8" s="23"/>
      <c r="AI8" s="285">
        <v>3</v>
      </c>
      <c r="AJ8" s="286" t="s">
        <v>14</v>
      </c>
      <c r="AK8" s="287">
        <f>4.8/12</f>
        <v>0.39999999999999997</v>
      </c>
      <c r="AL8" s="287">
        <f>6.2/12</f>
        <v>0.51666666666666672</v>
      </c>
      <c r="AM8" s="287">
        <f>7.6/12</f>
        <v>0.6333333333333333</v>
      </c>
      <c r="AN8" s="339">
        <f t="shared" si="9"/>
        <v>68.083333333333272</v>
      </c>
      <c r="AO8" s="157">
        <f t="shared" si="10"/>
        <v>12600</v>
      </c>
      <c r="AP8" s="340">
        <f t="shared" si="4"/>
        <v>12567.739856560207</v>
      </c>
      <c r="AQ8" s="341">
        <f t="shared" si="5"/>
        <v>67.899999999999977</v>
      </c>
      <c r="AR8" s="342">
        <f t="shared" ref="AR8:AR19" si="13">AP8-AP7</f>
        <v>-490</v>
      </c>
      <c r="AX8" s="278" t="s">
        <v>76</v>
      </c>
      <c r="AY8" s="279">
        <f>VLOOKUP(AM3,AX5:AY7,2)</f>
        <v>2</v>
      </c>
      <c r="BC8" s="261">
        <f t="shared" si="11"/>
        <v>50.300000000000004</v>
      </c>
      <c r="BD8" s="259">
        <f t="shared" si="6"/>
        <v>210</v>
      </c>
      <c r="BE8" s="260">
        <f t="shared" si="7"/>
        <v>50.300000000000004</v>
      </c>
    </row>
    <row r="9" spans="1:57">
      <c r="B9" s="11"/>
      <c r="C9" s="12"/>
      <c r="D9" s="12"/>
      <c r="E9" s="12"/>
      <c r="F9" s="12"/>
      <c r="G9" s="12"/>
      <c r="H9" s="12"/>
      <c r="I9" s="12"/>
      <c r="J9" s="12"/>
      <c r="K9" s="12"/>
      <c r="L9" s="12"/>
      <c r="M9" s="12"/>
      <c r="N9" s="12"/>
      <c r="O9" s="12"/>
      <c r="P9" s="12"/>
      <c r="Q9" s="36"/>
      <c r="R9" s="37"/>
      <c r="S9" s="38"/>
      <c r="T9" s="35"/>
      <c r="U9" s="27"/>
      <c r="W9" s="153">
        <f t="shared" si="1"/>
        <v>41791</v>
      </c>
      <c r="X9" s="154">
        <f t="shared" si="8"/>
        <v>6</v>
      </c>
      <c r="Y9" s="155">
        <v>69.5</v>
      </c>
      <c r="Z9" s="156">
        <f t="shared" si="0"/>
        <v>13650</v>
      </c>
      <c r="AA9" s="157">
        <f t="shared" si="2"/>
        <v>0</v>
      </c>
      <c r="AC9" s="182">
        <f t="shared" ref="AC9:AC52" si="14">DATE(YEAR(AC8),MONTH(AC8)+1,DAY(AC8))</f>
        <v>42461</v>
      </c>
      <c r="AD9" s="183">
        <f t="shared" ref="AD9:AD52" si="15">$R$20</f>
        <v>14000</v>
      </c>
      <c r="AE9" s="308">
        <f t="shared" ref="AE9:AE52" si="16">AD9*$Q$24</f>
        <v>7000</v>
      </c>
      <c r="AF9" s="186">
        <f t="shared" si="12"/>
        <v>12600</v>
      </c>
      <c r="AG9" s="190" t="str">
        <f t="shared" si="3"/>
        <v>No</v>
      </c>
      <c r="AH9" s="23"/>
      <c r="AI9" s="285">
        <v>4</v>
      </c>
      <c r="AJ9" s="286" t="s">
        <v>15</v>
      </c>
      <c r="AK9" s="287">
        <f>6/12</f>
        <v>0.5</v>
      </c>
      <c r="AL9" s="287">
        <f>7.4/12</f>
        <v>0.6166666666666667</v>
      </c>
      <c r="AM9" s="287">
        <f>9.4/12</f>
        <v>0.78333333333333333</v>
      </c>
      <c r="AN9" s="339">
        <f t="shared" si="9"/>
        <v>67.283333333333317</v>
      </c>
      <c r="AO9" s="157">
        <f t="shared" si="10"/>
        <v>12040</v>
      </c>
      <c r="AP9" s="340">
        <f t="shared" si="4"/>
        <v>12007.739856560207</v>
      </c>
      <c r="AQ9" s="341">
        <f t="shared" si="5"/>
        <v>67.100000000000023</v>
      </c>
      <c r="AR9" s="342">
        <f t="shared" si="13"/>
        <v>-560</v>
      </c>
      <c r="BC9" s="261">
        <f t="shared" si="11"/>
        <v>50.400000000000006</v>
      </c>
      <c r="BD9" s="259">
        <f t="shared" si="6"/>
        <v>280</v>
      </c>
      <c r="BE9" s="260">
        <f t="shared" si="7"/>
        <v>50.400000000000006</v>
      </c>
    </row>
    <row r="10" spans="1:57">
      <c r="B10" s="11"/>
      <c r="C10" s="12"/>
      <c r="D10" s="12"/>
      <c r="E10" s="12"/>
      <c r="F10" s="12"/>
      <c r="G10" s="12"/>
      <c r="H10" s="12"/>
      <c r="I10" s="12"/>
      <c r="J10" s="12"/>
      <c r="K10" s="12"/>
      <c r="L10" s="12"/>
      <c r="M10" s="12"/>
      <c r="N10" s="12"/>
      <c r="O10" s="12"/>
      <c r="P10" s="12"/>
      <c r="Q10" s="36"/>
      <c r="R10" s="37"/>
      <c r="S10" s="38"/>
      <c r="T10" s="35"/>
      <c r="U10" s="27"/>
      <c r="W10" s="153">
        <f t="shared" si="1"/>
        <v>41821</v>
      </c>
      <c r="X10" s="154">
        <f t="shared" si="8"/>
        <v>7</v>
      </c>
      <c r="Y10" s="155">
        <v>69.5</v>
      </c>
      <c r="Z10" s="156">
        <f t="shared" si="0"/>
        <v>13650</v>
      </c>
      <c r="AA10" s="157">
        <f t="shared" si="2"/>
        <v>0</v>
      </c>
      <c r="AC10" s="182">
        <f t="shared" si="14"/>
        <v>42491</v>
      </c>
      <c r="AD10" s="183">
        <f t="shared" si="15"/>
        <v>14000</v>
      </c>
      <c r="AE10" s="308">
        <f t="shared" si="16"/>
        <v>7000</v>
      </c>
      <c r="AF10" s="186">
        <f t="shared" si="12"/>
        <v>11970</v>
      </c>
      <c r="AG10" s="190" t="str">
        <f t="shared" si="3"/>
        <v>No</v>
      </c>
      <c r="AH10" s="23"/>
      <c r="AI10" s="285">
        <v>5</v>
      </c>
      <c r="AJ10" s="286" t="s">
        <v>20</v>
      </c>
      <c r="AK10" s="287">
        <f>7.1/12</f>
        <v>0.59166666666666667</v>
      </c>
      <c r="AL10" s="287">
        <f>8.4/12</f>
        <v>0.70000000000000007</v>
      </c>
      <c r="AM10" s="287">
        <f>10.2/12</f>
        <v>0.85</v>
      </c>
      <c r="AN10" s="339">
        <f t="shared" si="9"/>
        <v>66.40000000000002</v>
      </c>
      <c r="AO10" s="157">
        <f t="shared" si="10"/>
        <v>11410</v>
      </c>
      <c r="AP10" s="340">
        <f t="shared" si="4"/>
        <v>11377.739856560207</v>
      </c>
      <c r="AQ10" s="341">
        <f t="shared" si="5"/>
        <v>66.200000000000074</v>
      </c>
      <c r="AR10" s="342">
        <f t="shared" si="13"/>
        <v>-630</v>
      </c>
      <c r="BC10" s="261">
        <f t="shared" si="11"/>
        <v>50.500000000000007</v>
      </c>
      <c r="BD10" s="259">
        <f t="shared" si="6"/>
        <v>350</v>
      </c>
      <c r="BE10" s="260">
        <f t="shared" si="7"/>
        <v>50.500000000000007</v>
      </c>
    </row>
    <row r="11" spans="1:57" ht="15.75" thickBot="1">
      <c r="A11" s="39"/>
      <c r="B11" s="11"/>
      <c r="C11" s="12"/>
      <c r="D11" s="12"/>
      <c r="E11" s="12"/>
      <c r="F11" s="12"/>
      <c r="G11" s="12"/>
      <c r="H11" s="12"/>
      <c r="I11" s="12"/>
      <c r="J11" s="12"/>
      <c r="K11" s="12"/>
      <c r="L11" s="12"/>
      <c r="M11" s="12"/>
      <c r="N11" s="12"/>
      <c r="O11" s="12"/>
      <c r="P11" s="12"/>
      <c r="Q11" s="40"/>
      <c r="R11" s="41"/>
      <c r="S11" s="42"/>
      <c r="T11" s="43"/>
      <c r="U11" s="27"/>
      <c r="W11" s="153">
        <f t="shared" si="1"/>
        <v>41852</v>
      </c>
      <c r="X11" s="154">
        <f t="shared" si="8"/>
        <v>8</v>
      </c>
      <c r="Y11" s="155">
        <v>69.5</v>
      </c>
      <c r="Z11" s="156">
        <f t="shared" si="0"/>
        <v>13650</v>
      </c>
      <c r="AA11" s="157">
        <f t="shared" si="2"/>
        <v>0</v>
      </c>
      <c r="AC11" s="182">
        <f t="shared" si="14"/>
        <v>42522</v>
      </c>
      <c r="AD11" s="183">
        <f t="shared" si="15"/>
        <v>14000</v>
      </c>
      <c r="AE11" s="308">
        <f t="shared" si="16"/>
        <v>7000</v>
      </c>
      <c r="AF11" s="186">
        <f t="shared" si="12"/>
        <v>11270</v>
      </c>
      <c r="AG11" s="190" t="str">
        <f t="shared" si="3"/>
        <v>No</v>
      </c>
      <c r="AH11" s="23"/>
      <c r="AI11" s="285">
        <v>6</v>
      </c>
      <c r="AJ11" s="286" t="s">
        <v>21</v>
      </c>
      <c r="AK11" s="287">
        <f>7.6/12</f>
        <v>0.6333333333333333</v>
      </c>
      <c r="AL11" s="287">
        <f>10.2/12</f>
        <v>0.85</v>
      </c>
      <c r="AM11" s="287">
        <f>11.6/12</f>
        <v>0.96666666666666667</v>
      </c>
      <c r="AN11" s="339">
        <f t="shared" si="9"/>
        <v>65.35000000000008</v>
      </c>
      <c r="AO11" s="157">
        <f t="shared" si="10"/>
        <v>10710</v>
      </c>
      <c r="AP11" s="340">
        <f t="shared" si="4"/>
        <v>10677.739856560207</v>
      </c>
      <c r="AQ11" s="341">
        <f t="shared" si="5"/>
        <v>65.200000000000131</v>
      </c>
      <c r="AR11" s="342">
        <f t="shared" si="13"/>
        <v>-700</v>
      </c>
      <c r="BC11" s="261">
        <f t="shared" si="11"/>
        <v>50.600000000000009</v>
      </c>
      <c r="BD11" s="259">
        <f t="shared" si="6"/>
        <v>420</v>
      </c>
      <c r="BE11" s="260">
        <f t="shared" si="7"/>
        <v>50.600000000000009</v>
      </c>
    </row>
    <row r="12" spans="1:57" ht="15.75" thickBot="1">
      <c r="A12" s="39"/>
      <c r="B12" s="11"/>
      <c r="C12" s="12"/>
      <c r="D12" s="12"/>
      <c r="E12" s="12"/>
      <c r="F12" s="12"/>
      <c r="G12" s="12"/>
      <c r="H12" s="12"/>
      <c r="I12" s="12"/>
      <c r="J12" s="12"/>
      <c r="K12" s="12"/>
      <c r="L12" s="12"/>
      <c r="M12" s="12"/>
      <c r="N12" s="12"/>
      <c r="O12" s="12"/>
      <c r="P12" s="12"/>
      <c r="Q12" s="44"/>
      <c r="R12" s="45"/>
      <c r="S12" s="46"/>
      <c r="T12" s="47"/>
      <c r="U12" s="27"/>
      <c r="W12" s="153">
        <f t="shared" si="1"/>
        <v>41883</v>
      </c>
      <c r="X12" s="154">
        <f t="shared" si="8"/>
        <v>9</v>
      </c>
      <c r="Y12" s="155">
        <v>69.5</v>
      </c>
      <c r="Z12" s="156">
        <f t="shared" si="0"/>
        <v>13650</v>
      </c>
      <c r="AA12" s="157">
        <f t="shared" si="2"/>
        <v>0</v>
      </c>
      <c r="AC12" s="182">
        <f t="shared" si="14"/>
        <v>42552</v>
      </c>
      <c r="AD12" s="183">
        <f t="shared" si="15"/>
        <v>14000</v>
      </c>
      <c r="AE12" s="308">
        <f t="shared" si="16"/>
        <v>7000</v>
      </c>
      <c r="AF12" s="186">
        <f t="shared" si="12"/>
        <v>10430</v>
      </c>
      <c r="AG12" s="190" t="str">
        <f t="shared" si="3"/>
        <v>No</v>
      </c>
      <c r="AH12" s="23"/>
      <c r="AI12" s="285">
        <v>7</v>
      </c>
      <c r="AJ12" s="286" t="s">
        <v>22</v>
      </c>
      <c r="AK12" s="287">
        <f>8/12</f>
        <v>0.66666666666666663</v>
      </c>
      <c r="AL12" s="287">
        <f>12/12</f>
        <v>1</v>
      </c>
      <c r="AM12" s="287">
        <f>12.7/12</f>
        <v>1.0583333333333333</v>
      </c>
      <c r="AN12" s="339">
        <f t="shared" si="9"/>
        <v>64.200000000000131</v>
      </c>
      <c r="AO12" s="157">
        <f t="shared" si="10"/>
        <v>9870</v>
      </c>
      <c r="AP12" s="340">
        <f t="shared" si="4"/>
        <v>9837.739856560207</v>
      </c>
      <c r="AQ12" s="341">
        <f t="shared" si="5"/>
        <v>64.000000000000199</v>
      </c>
      <c r="AR12" s="342">
        <f t="shared" si="13"/>
        <v>-840</v>
      </c>
      <c r="BC12" s="261">
        <f t="shared" si="11"/>
        <v>50.70000000000001</v>
      </c>
      <c r="BD12" s="259">
        <f t="shared" si="6"/>
        <v>490</v>
      </c>
      <c r="BE12" s="260">
        <f t="shared" si="7"/>
        <v>50.70000000000001</v>
      </c>
    </row>
    <row r="13" spans="1:57" ht="15.75" thickBot="1">
      <c r="A13" s="39"/>
      <c r="B13" s="11"/>
      <c r="C13" s="12"/>
      <c r="D13" s="12"/>
      <c r="E13" s="12"/>
      <c r="F13" s="12"/>
      <c r="G13" s="12"/>
      <c r="H13" s="12"/>
      <c r="I13" s="12"/>
      <c r="J13" s="12"/>
      <c r="K13" s="12"/>
      <c r="L13" s="12"/>
      <c r="M13" s="12"/>
      <c r="N13" s="12"/>
      <c r="O13" s="12"/>
      <c r="P13" s="12"/>
      <c r="Q13" s="48" t="s">
        <v>26</v>
      </c>
      <c r="R13" s="49" t="s">
        <v>27</v>
      </c>
      <c r="S13" s="50" t="s">
        <v>28</v>
      </c>
      <c r="T13" s="51" t="s">
        <v>19</v>
      </c>
      <c r="U13" s="27"/>
      <c r="W13" s="153">
        <f t="shared" si="1"/>
        <v>41913</v>
      </c>
      <c r="X13" s="154">
        <f t="shared" si="8"/>
        <v>10</v>
      </c>
      <c r="Y13" s="155">
        <v>69.5</v>
      </c>
      <c r="Z13" s="156">
        <f t="shared" si="0"/>
        <v>13650</v>
      </c>
      <c r="AA13" s="157">
        <f t="shared" si="2"/>
        <v>0</v>
      </c>
      <c r="AC13" s="182">
        <f t="shared" si="14"/>
        <v>42583</v>
      </c>
      <c r="AD13" s="183">
        <f t="shared" si="15"/>
        <v>14000</v>
      </c>
      <c r="AE13" s="308">
        <f t="shared" si="16"/>
        <v>7000</v>
      </c>
      <c r="AF13" s="186">
        <f t="shared" si="12"/>
        <v>9660</v>
      </c>
      <c r="AG13" s="190" t="str">
        <f t="shared" si="3"/>
        <v>No</v>
      </c>
      <c r="AH13" s="23"/>
      <c r="AI13" s="285">
        <v>8</v>
      </c>
      <c r="AJ13" s="286" t="s">
        <v>23</v>
      </c>
      <c r="AK13" s="287">
        <f>7.7/12</f>
        <v>0.64166666666666672</v>
      </c>
      <c r="AL13" s="287">
        <f>11.2/12</f>
        <v>0.93333333333333324</v>
      </c>
      <c r="AM13" s="287">
        <f>11.8/12</f>
        <v>0.98333333333333339</v>
      </c>
      <c r="AN13" s="339">
        <f t="shared" si="9"/>
        <v>63.066666666666869</v>
      </c>
      <c r="AO13" s="157">
        <f t="shared" si="10"/>
        <v>9100</v>
      </c>
      <c r="AP13" s="340">
        <f t="shared" si="4"/>
        <v>9067.739856560207</v>
      </c>
      <c r="AQ13" s="341">
        <f t="shared" si="5"/>
        <v>62.900000000000183</v>
      </c>
      <c r="AR13" s="342">
        <f t="shared" si="13"/>
        <v>-770</v>
      </c>
      <c r="BC13" s="261">
        <f t="shared" si="11"/>
        <v>50.800000000000011</v>
      </c>
      <c r="BD13" s="259">
        <f t="shared" si="6"/>
        <v>560</v>
      </c>
      <c r="BE13" s="260">
        <f t="shared" si="7"/>
        <v>50.800000000000011</v>
      </c>
    </row>
    <row r="14" spans="1:57">
      <c r="A14" s="39"/>
      <c r="B14" s="11"/>
      <c r="C14" s="12"/>
      <c r="D14" s="12"/>
      <c r="E14" s="12"/>
      <c r="F14" s="12"/>
      <c r="G14" s="12"/>
      <c r="H14" s="12"/>
      <c r="I14" s="12"/>
      <c r="J14" s="12"/>
      <c r="K14" s="12"/>
      <c r="L14" s="12"/>
      <c r="M14" s="12"/>
      <c r="N14" s="12"/>
      <c r="O14" s="12"/>
      <c r="P14" s="12"/>
      <c r="Q14" s="36" t="s">
        <v>58</v>
      </c>
      <c r="R14" s="52">
        <f>S14*T14/325851</f>
        <v>32.260143439793033</v>
      </c>
      <c r="S14" s="52">
        <v>480</v>
      </c>
      <c r="T14" s="53">
        <f>T8/12</f>
        <v>21900</v>
      </c>
      <c r="U14" s="27"/>
      <c r="W14" s="153">
        <f t="shared" si="1"/>
        <v>41944</v>
      </c>
      <c r="X14" s="154">
        <f t="shared" si="8"/>
        <v>11</v>
      </c>
      <c r="Y14" s="155">
        <v>69.5</v>
      </c>
      <c r="Z14" s="156">
        <f t="shared" si="0"/>
        <v>13650</v>
      </c>
      <c r="AA14" s="157">
        <f t="shared" si="2"/>
        <v>0</v>
      </c>
      <c r="AC14" s="182">
        <f t="shared" si="14"/>
        <v>42614</v>
      </c>
      <c r="AD14" s="183">
        <f t="shared" si="15"/>
        <v>14000</v>
      </c>
      <c r="AE14" s="308">
        <f t="shared" si="16"/>
        <v>7000</v>
      </c>
      <c r="AF14" s="186">
        <f t="shared" si="12"/>
        <v>9100</v>
      </c>
      <c r="AG14" s="190" t="str">
        <f t="shared" si="3"/>
        <v>No</v>
      </c>
      <c r="AH14" s="23"/>
      <c r="AI14" s="285">
        <v>9</v>
      </c>
      <c r="AJ14" s="286" t="s">
        <v>24</v>
      </c>
      <c r="AK14" s="287">
        <f>6/12</f>
        <v>0.5</v>
      </c>
      <c r="AL14" s="287">
        <f>8.3/12</f>
        <v>0.69166666666666676</v>
      </c>
      <c r="AM14" s="287">
        <f>9/12</f>
        <v>0.75</v>
      </c>
      <c r="AN14" s="339">
        <f t="shared" si="9"/>
        <v>62.208333333333513</v>
      </c>
      <c r="AO14" s="157">
        <f t="shared" si="10"/>
        <v>8540</v>
      </c>
      <c r="AP14" s="340">
        <f t="shared" si="4"/>
        <v>8507.739856560207</v>
      </c>
      <c r="AQ14" s="341">
        <f t="shared" si="5"/>
        <v>62.100000000000172</v>
      </c>
      <c r="AR14" s="342">
        <f t="shared" si="13"/>
        <v>-560</v>
      </c>
      <c r="BC14" s="261">
        <f t="shared" si="11"/>
        <v>50.900000000000013</v>
      </c>
      <c r="BD14" s="259">
        <f t="shared" si="6"/>
        <v>630</v>
      </c>
      <c r="BE14" s="260">
        <f t="shared" si="7"/>
        <v>50.900000000000013</v>
      </c>
    </row>
    <row r="15" spans="1:57">
      <c r="A15" s="39"/>
      <c r="B15" s="11"/>
      <c r="C15" s="12"/>
      <c r="D15" s="12"/>
      <c r="E15" s="12"/>
      <c r="F15" s="12"/>
      <c r="G15" s="12"/>
      <c r="H15" s="12"/>
      <c r="I15" s="12"/>
      <c r="J15" s="12"/>
      <c r="K15" s="12"/>
      <c r="L15" s="12"/>
      <c r="M15" s="12"/>
      <c r="N15" s="12"/>
      <c r="O15" s="12"/>
      <c r="P15" s="12"/>
      <c r="Q15" s="36"/>
      <c r="R15" s="52"/>
      <c r="S15" s="52"/>
      <c r="T15" s="53">
        <f>T9/12</f>
        <v>0</v>
      </c>
      <c r="U15" s="54"/>
      <c r="W15" s="153">
        <f t="shared" si="1"/>
        <v>41974</v>
      </c>
      <c r="X15" s="154">
        <f t="shared" si="8"/>
        <v>12</v>
      </c>
      <c r="Y15" s="155">
        <v>69.5</v>
      </c>
      <c r="Z15" s="156">
        <f t="shared" si="0"/>
        <v>13650</v>
      </c>
      <c r="AA15" s="157">
        <f t="shared" si="2"/>
        <v>0</v>
      </c>
      <c r="AC15" s="182">
        <f t="shared" si="14"/>
        <v>42644</v>
      </c>
      <c r="AD15" s="183">
        <f t="shared" si="15"/>
        <v>14000</v>
      </c>
      <c r="AE15" s="308">
        <f t="shared" si="16"/>
        <v>7000</v>
      </c>
      <c r="AF15" s="186">
        <f t="shared" si="12"/>
        <v>8610</v>
      </c>
      <c r="AG15" s="190" t="str">
        <f t="shared" si="3"/>
        <v>No</v>
      </c>
      <c r="AH15" s="23"/>
      <c r="AI15" s="285">
        <v>10</v>
      </c>
      <c r="AJ15" s="286" t="s">
        <v>25</v>
      </c>
      <c r="AK15" s="287">
        <f>4.8/12</f>
        <v>0.39999999999999997</v>
      </c>
      <c r="AL15" s="287">
        <f>6.3/12</f>
        <v>0.52500000000000002</v>
      </c>
      <c r="AM15" s="287">
        <f>7/12</f>
        <v>0.58333333333333337</v>
      </c>
      <c r="AN15" s="339">
        <f t="shared" si="9"/>
        <v>61.575000000000173</v>
      </c>
      <c r="AO15" s="157">
        <f t="shared" si="10"/>
        <v>8050</v>
      </c>
      <c r="AP15" s="340">
        <f t="shared" si="4"/>
        <v>8017.739856560207</v>
      </c>
      <c r="AQ15" s="341">
        <f t="shared" si="5"/>
        <v>61.400000000000162</v>
      </c>
      <c r="AR15" s="342">
        <f t="shared" si="13"/>
        <v>-490</v>
      </c>
      <c r="BC15" s="261">
        <f t="shared" si="11"/>
        <v>51.000000000000014</v>
      </c>
      <c r="BD15" s="259">
        <f t="shared" si="6"/>
        <v>700</v>
      </c>
      <c r="BE15" s="260">
        <f t="shared" si="7"/>
        <v>51.000000000000014</v>
      </c>
    </row>
    <row r="16" spans="1:57">
      <c r="A16" s="39"/>
      <c r="B16" s="11"/>
      <c r="C16" s="12"/>
      <c r="D16" s="12"/>
      <c r="E16" s="12"/>
      <c r="F16" s="12"/>
      <c r="G16" s="12"/>
      <c r="H16" s="12"/>
      <c r="I16" s="12"/>
      <c r="J16" s="12"/>
      <c r="K16" s="12"/>
      <c r="L16" s="12"/>
      <c r="M16" s="12"/>
      <c r="N16" s="12"/>
      <c r="O16" s="12"/>
      <c r="P16" s="12"/>
      <c r="Q16" s="36"/>
      <c r="R16" s="52"/>
      <c r="S16" s="52"/>
      <c r="T16" s="53">
        <f>T10/12</f>
        <v>0</v>
      </c>
      <c r="U16" s="54"/>
      <c r="W16" s="153">
        <f t="shared" si="1"/>
        <v>42005</v>
      </c>
      <c r="X16" s="154">
        <f t="shared" si="8"/>
        <v>1</v>
      </c>
      <c r="Y16" s="155">
        <v>69.5</v>
      </c>
      <c r="Z16" s="156">
        <f t="shared" si="0"/>
        <v>13650</v>
      </c>
      <c r="AA16" s="157">
        <f t="shared" si="2"/>
        <v>0</v>
      </c>
      <c r="AC16" s="182">
        <f t="shared" si="14"/>
        <v>42675</v>
      </c>
      <c r="AD16" s="183">
        <f t="shared" si="15"/>
        <v>14000</v>
      </c>
      <c r="AE16" s="308">
        <f t="shared" si="16"/>
        <v>7000</v>
      </c>
      <c r="AF16" s="186">
        <f t="shared" si="12"/>
        <v>8260</v>
      </c>
      <c r="AG16" s="190" t="str">
        <f t="shared" si="3"/>
        <v>No</v>
      </c>
      <c r="AH16" s="23"/>
      <c r="AI16" s="285">
        <v>11</v>
      </c>
      <c r="AJ16" s="286" t="s">
        <v>29</v>
      </c>
      <c r="AK16" s="287">
        <f>3.2/12</f>
        <v>0.26666666666666666</v>
      </c>
      <c r="AL16" s="287">
        <f>4.1/12</f>
        <v>0.34166666666666662</v>
      </c>
      <c r="AM16" s="287">
        <f>5/12</f>
        <v>0.41666666666666669</v>
      </c>
      <c r="AN16" s="339">
        <f t="shared" si="9"/>
        <v>61.058333333333493</v>
      </c>
      <c r="AO16" s="157">
        <f t="shared" si="10"/>
        <v>7700</v>
      </c>
      <c r="AP16" s="340">
        <f t="shared" si="4"/>
        <v>7667.739856560207</v>
      </c>
      <c r="AQ16" s="341">
        <f t="shared" si="5"/>
        <v>60.900000000000155</v>
      </c>
      <c r="AR16" s="342">
        <f t="shared" si="13"/>
        <v>-350</v>
      </c>
      <c r="BC16" s="261">
        <f t="shared" si="11"/>
        <v>51.100000000000016</v>
      </c>
      <c r="BD16" s="259">
        <f t="shared" si="6"/>
        <v>770</v>
      </c>
      <c r="BE16" s="260">
        <f t="shared" si="7"/>
        <v>51.100000000000016</v>
      </c>
    </row>
    <row r="17" spans="1:57" ht="15.75" thickBot="1">
      <c r="A17" s="39"/>
      <c r="B17" s="11"/>
      <c r="C17" s="12"/>
      <c r="D17" s="12"/>
      <c r="E17" s="12"/>
      <c r="F17" s="12"/>
      <c r="G17" s="12"/>
      <c r="H17" s="12"/>
      <c r="I17" s="12"/>
      <c r="J17" s="12"/>
      <c r="K17" s="12"/>
      <c r="L17" s="12"/>
      <c r="M17" s="12"/>
      <c r="N17" s="12"/>
      <c r="O17" s="12"/>
      <c r="P17" s="12"/>
      <c r="Q17" s="55"/>
      <c r="R17" s="56"/>
      <c r="S17" s="56"/>
      <c r="T17" s="108">
        <f>T11/12</f>
        <v>0</v>
      </c>
      <c r="U17" s="54"/>
      <c r="W17" s="153">
        <f t="shared" si="1"/>
        <v>42036</v>
      </c>
      <c r="X17" s="154">
        <f t="shared" si="8"/>
        <v>2</v>
      </c>
      <c r="Y17" s="155">
        <v>69.5</v>
      </c>
      <c r="Z17" s="156">
        <f t="shared" si="0"/>
        <v>13650</v>
      </c>
      <c r="AA17" s="157">
        <f t="shared" si="2"/>
        <v>0</v>
      </c>
      <c r="AC17" s="182">
        <f t="shared" si="14"/>
        <v>42705</v>
      </c>
      <c r="AD17" s="183">
        <f t="shared" si="15"/>
        <v>14000</v>
      </c>
      <c r="AE17" s="308">
        <f t="shared" si="16"/>
        <v>7000</v>
      </c>
      <c r="AF17" s="186">
        <f t="shared" si="12"/>
        <v>7980</v>
      </c>
      <c r="AG17" s="190" t="str">
        <f t="shared" si="3"/>
        <v>No</v>
      </c>
      <c r="AH17" s="23"/>
      <c r="AI17" s="285">
        <v>12</v>
      </c>
      <c r="AJ17" s="286" t="s">
        <v>30</v>
      </c>
      <c r="AK17" s="287">
        <f>2.8/12</f>
        <v>0.23333333333333331</v>
      </c>
      <c r="AL17" s="287">
        <f>3.1/12</f>
        <v>0.25833333333333336</v>
      </c>
      <c r="AM17" s="287">
        <f>4/12</f>
        <v>0.33333333333333331</v>
      </c>
      <c r="AN17" s="339">
        <f t="shared" si="9"/>
        <v>60.641666666666822</v>
      </c>
      <c r="AO17" s="157">
        <f t="shared" si="10"/>
        <v>7420</v>
      </c>
      <c r="AP17" s="340">
        <f t="shared" si="4"/>
        <v>7387.739856560207</v>
      </c>
      <c r="AQ17" s="341">
        <f t="shared" si="5"/>
        <v>60.500000000000149</v>
      </c>
      <c r="AR17" s="342">
        <f t="shared" si="13"/>
        <v>-280</v>
      </c>
      <c r="BC17" s="261">
        <f t="shared" si="11"/>
        <v>51.200000000000017</v>
      </c>
      <c r="BD17" s="259">
        <f t="shared" si="6"/>
        <v>840</v>
      </c>
      <c r="BE17" s="260">
        <f t="shared" si="7"/>
        <v>51.200000000000017</v>
      </c>
    </row>
    <row r="18" spans="1:57" ht="15.75" thickBot="1">
      <c r="A18" s="39"/>
      <c r="B18" s="11"/>
      <c r="C18" s="12"/>
      <c r="D18" s="12"/>
      <c r="E18" s="12"/>
      <c r="F18" s="12"/>
      <c r="G18" s="12"/>
      <c r="H18" s="12"/>
      <c r="I18" s="12"/>
      <c r="J18" s="12"/>
      <c r="K18" s="12"/>
      <c r="L18" s="12"/>
      <c r="M18" s="12"/>
      <c r="N18" s="12"/>
      <c r="O18" s="12"/>
      <c r="P18" s="12"/>
      <c r="Q18" s="12"/>
      <c r="R18" s="23"/>
      <c r="S18" s="23"/>
      <c r="T18" s="12"/>
      <c r="U18" s="27"/>
      <c r="W18" s="153">
        <f t="shared" si="1"/>
        <v>42064</v>
      </c>
      <c r="X18" s="154">
        <f t="shared" si="8"/>
        <v>3</v>
      </c>
      <c r="Y18" s="155">
        <v>69.5</v>
      </c>
      <c r="Z18" s="156">
        <f t="shared" si="0"/>
        <v>13650</v>
      </c>
      <c r="AA18" s="157">
        <f t="shared" si="2"/>
        <v>0</v>
      </c>
      <c r="AC18" s="182">
        <f>DATE(YEAR(AC17),MONTH(AC17)+1,DAY(AC17))</f>
        <v>42736</v>
      </c>
      <c r="AD18" s="183">
        <f t="shared" si="15"/>
        <v>14000</v>
      </c>
      <c r="AE18" s="308">
        <f t="shared" si="16"/>
        <v>7000</v>
      </c>
      <c r="AF18" s="186">
        <f t="shared" ref="AF18:AF52" si="17">+AF17+VLOOKUP(MONTH(AC18),$AI$7:$AR$19,10,FALSE)</f>
        <v>7700</v>
      </c>
      <c r="AG18" s="190" t="str">
        <f t="shared" si="3"/>
        <v>No</v>
      </c>
      <c r="AH18" s="23"/>
      <c r="AI18" s="285">
        <v>1</v>
      </c>
      <c r="AJ18" s="286" t="s">
        <v>10</v>
      </c>
      <c r="AK18" s="287">
        <f>2.6/12</f>
        <v>0.21666666666666667</v>
      </c>
      <c r="AL18" s="287">
        <f>3/12</f>
        <v>0.25</v>
      </c>
      <c r="AM18" s="287">
        <f>4.2/12</f>
        <v>0.35000000000000003</v>
      </c>
      <c r="AN18" s="339">
        <f t="shared" si="9"/>
        <v>60.250000000000149</v>
      </c>
      <c r="AO18" s="157">
        <f t="shared" si="10"/>
        <v>7140</v>
      </c>
      <c r="AP18" s="340">
        <f t="shared" si="4"/>
        <v>7107.739856560207</v>
      </c>
      <c r="AQ18" s="341">
        <f t="shared" si="5"/>
        <v>60.100000000000144</v>
      </c>
      <c r="AR18" s="342">
        <f t="shared" si="13"/>
        <v>-280</v>
      </c>
      <c r="BC18" s="261">
        <f t="shared" si="11"/>
        <v>51.300000000000018</v>
      </c>
      <c r="BD18" s="259">
        <f t="shared" si="6"/>
        <v>910</v>
      </c>
      <c r="BE18" s="260">
        <f t="shared" si="7"/>
        <v>51.300000000000018</v>
      </c>
    </row>
    <row r="19" spans="1:57" ht="15.75" thickBot="1">
      <c r="A19" s="39"/>
      <c r="B19" s="11"/>
      <c r="C19" s="12"/>
      <c r="D19" s="12"/>
      <c r="E19" s="12"/>
      <c r="F19" s="12"/>
      <c r="G19" s="12"/>
      <c r="H19" s="12"/>
      <c r="I19" s="12"/>
      <c r="J19" s="12"/>
      <c r="K19" s="12"/>
      <c r="L19" s="12"/>
      <c r="M19" s="12"/>
      <c r="N19" s="12"/>
      <c r="O19" s="12"/>
      <c r="P19" s="12"/>
      <c r="Q19" s="13" t="s">
        <v>31</v>
      </c>
      <c r="R19" s="57"/>
      <c r="S19" s="57"/>
      <c r="T19" s="58"/>
      <c r="U19" s="27"/>
      <c r="W19" s="153">
        <f t="shared" si="1"/>
        <v>42095</v>
      </c>
      <c r="X19" s="154">
        <f t="shared" si="8"/>
        <v>4</v>
      </c>
      <c r="Y19" s="155">
        <v>69.5</v>
      </c>
      <c r="Z19" s="156">
        <f t="shared" si="0"/>
        <v>13650</v>
      </c>
      <c r="AA19" s="157">
        <f t="shared" si="2"/>
        <v>0</v>
      </c>
      <c r="AC19" s="182">
        <f t="shared" si="14"/>
        <v>42767</v>
      </c>
      <c r="AD19" s="183">
        <f t="shared" si="15"/>
        <v>14000</v>
      </c>
      <c r="AE19" s="308">
        <f t="shared" si="16"/>
        <v>7000</v>
      </c>
      <c r="AF19" s="186">
        <f t="shared" si="17"/>
        <v>7350</v>
      </c>
      <c r="AG19" s="190" t="str">
        <f t="shared" si="3"/>
        <v>No</v>
      </c>
      <c r="AH19" s="23"/>
      <c r="AI19" s="288">
        <v>2</v>
      </c>
      <c r="AJ19" s="289" t="s">
        <v>13</v>
      </c>
      <c r="AK19" s="290">
        <f>3.2/12</f>
        <v>0.26666666666666666</v>
      </c>
      <c r="AL19" s="290">
        <f>4/12</f>
        <v>0.33333333333333331</v>
      </c>
      <c r="AM19" s="290">
        <f>5/12</f>
        <v>0.41666666666666669</v>
      </c>
      <c r="AN19" s="343">
        <f t="shared" si="9"/>
        <v>59.766666666666808</v>
      </c>
      <c r="AO19" s="165">
        <f t="shared" si="10"/>
        <v>6790</v>
      </c>
      <c r="AP19" s="344">
        <f t="shared" si="4"/>
        <v>6757.739856560207</v>
      </c>
      <c r="AQ19" s="345">
        <f t="shared" si="5"/>
        <v>59.600000000000136</v>
      </c>
      <c r="AR19" s="346">
        <f t="shared" si="13"/>
        <v>-350</v>
      </c>
      <c r="BC19" s="261">
        <f t="shared" si="11"/>
        <v>51.40000000000002</v>
      </c>
      <c r="BD19" s="259">
        <f t="shared" si="6"/>
        <v>980</v>
      </c>
      <c r="BE19" s="260">
        <f t="shared" si="7"/>
        <v>51.40000000000002</v>
      </c>
    </row>
    <row r="20" spans="1:57" ht="16.5">
      <c r="A20" s="39"/>
      <c r="B20" s="11"/>
      <c r="C20" s="12"/>
      <c r="D20" s="12"/>
      <c r="E20" s="12"/>
      <c r="F20" s="12"/>
      <c r="G20" s="12"/>
      <c r="H20" s="12"/>
      <c r="I20" s="12"/>
      <c r="J20" s="12"/>
      <c r="K20" s="12"/>
      <c r="L20" s="12"/>
      <c r="M20" s="12"/>
      <c r="N20" s="12"/>
      <c r="O20" s="12"/>
      <c r="P20" s="12"/>
      <c r="Q20" s="59" t="s">
        <v>32</v>
      </c>
      <c r="R20" s="129">
        <v>14000</v>
      </c>
      <c r="S20" s="60" t="s">
        <v>27</v>
      </c>
      <c r="T20" s="61"/>
      <c r="U20" s="27"/>
      <c r="W20" s="153">
        <f t="shared" si="1"/>
        <v>42125</v>
      </c>
      <c r="X20" s="154">
        <f t="shared" si="8"/>
        <v>5</v>
      </c>
      <c r="Y20" s="155">
        <v>69.5</v>
      </c>
      <c r="Z20" s="156">
        <f t="shared" si="0"/>
        <v>13650</v>
      </c>
      <c r="AA20" s="157">
        <f t="shared" si="2"/>
        <v>0</v>
      </c>
      <c r="AC20" s="182">
        <f t="shared" si="14"/>
        <v>42795</v>
      </c>
      <c r="AD20" s="183">
        <f t="shared" si="15"/>
        <v>14000</v>
      </c>
      <c r="AE20" s="308">
        <f t="shared" si="16"/>
        <v>7000</v>
      </c>
      <c r="AF20" s="186">
        <f t="shared" si="17"/>
        <v>6860</v>
      </c>
      <c r="AG20" s="190" t="str">
        <f t="shared" si="3"/>
        <v>Yes</v>
      </c>
      <c r="AH20" s="23"/>
      <c r="AI20" s="4"/>
      <c r="AJ20" s="71"/>
      <c r="AK20" s="71"/>
      <c r="AL20" s="71"/>
      <c r="BC20" s="261">
        <f t="shared" si="11"/>
        <v>51.500000000000021</v>
      </c>
      <c r="BD20" s="259">
        <f t="shared" si="6"/>
        <v>1050</v>
      </c>
      <c r="BE20" s="260">
        <f t="shared" si="7"/>
        <v>51.500000000000021</v>
      </c>
    </row>
    <row r="21" spans="1:57" ht="17.25" thickBot="1">
      <c r="A21" s="39"/>
      <c r="B21" s="11"/>
      <c r="C21" s="12"/>
      <c r="D21" s="12"/>
      <c r="E21" s="12"/>
      <c r="F21" s="12"/>
      <c r="G21" s="12"/>
      <c r="H21" s="12"/>
      <c r="I21" s="12"/>
      <c r="J21" s="12"/>
      <c r="K21" s="12"/>
      <c r="L21" s="12"/>
      <c r="M21" s="12"/>
      <c r="N21" s="12"/>
      <c r="O21" s="12"/>
      <c r="P21" s="12"/>
      <c r="Q21" s="24" t="s">
        <v>99</v>
      </c>
      <c r="R21" s="62">
        <f>R20*Q24</f>
        <v>7000</v>
      </c>
      <c r="S21" s="63" t="s">
        <v>27</v>
      </c>
      <c r="T21" s="64"/>
      <c r="U21" s="65"/>
      <c r="W21" s="153">
        <f t="shared" si="1"/>
        <v>42156</v>
      </c>
      <c r="X21" s="154">
        <f t="shared" si="8"/>
        <v>6</v>
      </c>
      <c r="Y21" s="155">
        <v>69.5</v>
      </c>
      <c r="Z21" s="156">
        <f t="shared" si="0"/>
        <v>13650</v>
      </c>
      <c r="AA21" s="157">
        <f t="shared" si="2"/>
        <v>0</v>
      </c>
      <c r="AC21" s="182">
        <f t="shared" si="14"/>
        <v>42826</v>
      </c>
      <c r="AD21" s="183">
        <f t="shared" si="15"/>
        <v>14000</v>
      </c>
      <c r="AE21" s="308">
        <f t="shared" si="16"/>
        <v>7000</v>
      </c>
      <c r="AF21" s="186">
        <f t="shared" si="17"/>
        <v>6300</v>
      </c>
      <c r="AG21" s="190" t="str">
        <f t="shared" si="3"/>
        <v>Yes</v>
      </c>
      <c r="AH21" s="23"/>
      <c r="AI21" s="4"/>
      <c r="AJ21" s="71"/>
      <c r="AK21" s="71"/>
      <c r="AL21" s="71"/>
      <c r="BC21" s="261">
        <f t="shared" si="11"/>
        <v>51.600000000000023</v>
      </c>
      <c r="BD21" s="259">
        <f t="shared" si="6"/>
        <v>1120</v>
      </c>
      <c r="BE21" s="260">
        <f t="shared" si="7"/>
        <v>51.600000000000023</v>
      </c>
    </row>
    <row r="22" spans="1:57" ht="17.25" thickBot="1">
      <c r="A22" s="39"/>
      <c r="B22" s="11"/>
      <c r="C22" s="12"/>
      <c r="D22" s="12"/>
      <c r="E22" s="12"/>
      <c r="F22" s="12"/>
      <c r="G22" s="12"/>
      <c r="H22" s="12"/>
      <c r="I22" s="12"/>
      <c r="J22" s="12"/>
      <c r="K22" s="12"/>
      <c r="L22" s="12"/>
      <c r="M22" s="12"/>
      <c r="N22" s="12"/>
      <c r="O22" s="12"/>
      <c r="P22" s="12"/>
      <c r="Q22" s="12"/>
      <c r="R22" s="23"/>
      <c r="S22" s="23"/>
      <c r="T22" s="12"/>
      <c r="U22" s="65"/>
      <c r="W22" s="153">
        <f t="shared" si="1"/>
        <v>42186</v>
      </c>
      <c r="X22" s="154">
        <f t="shared" si="8"/>
        <v>7</v>
      </c>
      <c r="Y22" s="155">
        <v>69.5</v>
      </c>
      <c r="Z22" s="156">
        <f t="shared" si="0"/>
        <v>13650</v>
      </c>
      <c r="AA22" s="157">
        <f t="shared" si="2"/>
        <v>0</v>
      </c>
      <c r="AC22" s="182">
        <f t="shared" si="14"/>
        <v>42856</v>
      </c>
      <c r="AD22" s="183">
        <f t="shared" si="15"/>
        <v>14000</v>
      </c>
      <c r="AE22" s="308">
        <f t="shared" si="16"/>
        <v>7000</v>
      </c>
      <c r="AF22" s="186">
        <f t="shared" si="17"/>
        <v>5670</v>
      </c>
      <c r="AG22" s="190" t="str">
        <f t="shared" si="3"/>
        <v>Yes</v>
      </c>
      <c r="AH22" s="23"/>
      <c r="AI22" s="4"/>
      <c r="AJ22" s="71"/>
      <c r="AK22" s="71"/>
      <c r="AL22" s="71"/>
      <c r="BC22" s="261">
        <f t="shared" si="11"/>
        <v>51.700000000000024</v>
      </c>
      <c r="BD22" s="259">
        <f t="shared" si="6"/>
        <v>1190</v>
      </c>
      <c r="BE22" s="260">
        <f t="shared" si="7"/>
        <v>51.700000000000024</v>
      </c>
    </row>
    <row r="23" spans="1:57" ht="17.25" thickBot="1">
      <c r="A23" s="39"/>
      <c r="B23" s="11"/>
      <c r="C23" s="12"/>
      <c r="D23" s="12"/>
      <c r="E23" s="12"/>
      <c r="F23" s="12"/>
      <c r="G23" s="12"/>
      <c r="H23" s="12"/>
      <c r="I23" s="12"/>
      <c r="J23" s="12"/>
      <c r="K23" s="12"/>
      <c r="L23" s="12"/>
      <c r="M23" s="12"/>
      <c r="N23" s="12"/>
      <c r="O23" s="12"/>
      <c r="P23" s="12"/>
      <c r="Q23" s="13" t="s">
        <v>99</v>
      </c>
      <c r="R23" s="57"/>
      <c r="S23" s="57" t="s">
        <v>34</v>
      </c>
      <c r="T23" s="58"/>
      <c r="U23" s="66"/>
      <c r="W23" s="153">
        <f t="shared" si="1"/>
        <v>42217</v>
      </c>
      <c r="X23" s="154">
        <f t="shared" si="8"/>
        <v>8</v>
      </c>
      <c r="Y23" s="155">
        <v>69.5</v>
      </c>
      <c r="Z23" s="156">
        <f t="shared" si="0"/>
        <v>13650</v>
      </c>
      <c r="AA23" s="157">
        <f>Z23-Z22</f>
        <v>0</v>
      </c>
      <c r="AC23" s="182">
        <f t="shared" si="14"/>
        <v>42887</v>
      </c>
      <c r="AD23" s="183">
        <f t="shared" si="15"/>
        <v>14000</v>
      </c>
      <c r="AE23" s="308">
        <f t="shared" si="16"/>
        <v>7000</v>
      </c>
      <c r="AF23" s="186">
        <f t="shared" si="17"/>
        <v>4970</v>
      </c>
      <c r="AG23" s="190" t="str">
        <f t="shared" si="3"/>
        <v>Yes</v>
      </c>
      <c r="AH23" s="23"/>
      <c r="AI23" s="4"/>
      <c r="AJ23" s="71"/>
      <c r="AK23" s="71"/>
      <c r="AL23" s="71"/>
      <c r="BC23" s="261">
        <f t="shared" si="11"/>
        <v>51.800000000000026</v>
      </c>
      <c r="BD23" s="259">
        <f t="shared" si="6"/>
        <v>1260</v>
      </c>
      <c r="BE23" s="260">
        <f t="shared" si="7"/>
        <v>51.800000000000026</v>
      </c>
    </row>
    <row r="24" spans="1:57" ht="16.5">
      <c r="A24" s="39"/>
      <c r="B24" s="11"/>
      <c r="C24" s="12"/>
      <c r="D24" s="12"/>
      <c r="E24" s="12"/>
      <c r="F24" s="12"/>
      <c r="G24" s="12"/>
      <c r="H24" s="12"/>
      <c r="I24" s="12"/>
      <c r="J24" s="12"/>
      <c r="K24" s="12"/>
      <c r="L24" s="12"/>
      <c r="M24" s="12"/>
      <c r="N24" s="12"/>
      <c r="O24" s="12"/>
      <c r="P24" s="12"/>
      <c r="Q24" s="368">
        <v>0.5</v>
      </c>
      <c r="R24" s="370" t="s">
        <v>38</v>
      </c>
      <c r="S24" s="371"/>
      <c r="T24" s="372"/>
      <c r="U24" s="65"/>
      <c r="W24" s="153">
        <f t="shared" si="1"/>
        <v>42248</v>
      </c>
      <c r="X24" s="154">
        <f t="shared" si="8"/>
        <v>9</v>
      </c>
      <c r="Y24" s="155">
        <v>69.5</v>
      </c>
      <c r="Z24" s="156">
        <f t="shared" si="0"/>
        <v>13650</v>
      </c>
      <c r="AA24" s="157">
        <f>Z24-Z23</f>
        <v>0</v>
      </c>
      <c r="AC24" s="182">
        <f t="shared" si="14"/>
        <v>42917</v>
      </c>
      <c r="AD24" s="183">
        <f t="shared" si="15"/>
        <v>14000</v>
      </c>
      <c r="AE24" s="308">
        <f t="shared" si="16"/>
        <v>7000</v>
      </c>
      <c r="AF24" s="186">
        <f t="shared" si="17"/>
        <v>4130</v>
      </c>
      <c r="AG24" s="190" t="str">
        <f t="shared" si="3"/>
        <v>Yes</v>
      </c>
      <c r="AH24" s="23"/>
      <c r="AI24" s="4"/>
      <c r="AJ24" s="71"/>
      <c r="AK24" s="71"/>
      <c r="AL24" s="71"/>
      <c r="BC24" s="261">
        <f t="shared" si="11"/>
        <v>51.900000000000027</v>
      </c>
      <c r="BD24" s="259">
        <f t="shared" si="6"/>
        <v>1330</v>
      </c>
      <c r="BE24" s="260">
        <f t="shared" si="7"/>
        <v>51.900000000000027</v>
      </c>
    </row>
    <row r="25" spans="1:57" ht="17.25" thickBot="1">
      <c r="A25" s="39"/>
      <c r="B25" s="11"/>
      <c r="C25" s="12"/>
      <c r="D25" s="12"/>
      <c r="E25" s="12"/>
      <c r="F25" s="12"/>
      <c r="G25" s="12"/>
      <c r="H25" s="12"/>
      <c r="I25" s="12"/>
      <c r="J25" s="12"/>
      <c r="K25" s="12"/>
      <c r="L25" s="12"/>
      <c r="M25" s="12"/>
      <c r="N25" s="12"/>
      <c r="O25" s="12"/>
      <c r="P25" s="12"/>
      <c r="Q25" s="369"/>
      <c r="R25" s="373"/>
      <c r="S25" s="374"/>
      <c r="T25" s="375"/>
      <c r="U25" s="65"/>
      <c r="W25" s="153">
        <f t="shared" si="1"/>
        <v>42278</v>
      </c>
      <c r="X25" s="154">
        <f t="shared" si="8"/>
        <v>10</v>
      </c>
      <c r="Y25" s="155">
        <v>69.5</v>
      </c>
      <c r="Z25" s="156">
        <f t="shared" si="0"/>
        <v>13650</v>
      </c>
      <c r="AA25" s="157">
        <f>Z25-Z24</f>
        <v>0</v>
      </c>
      <c r="AC25" s="182">
        <f t="shared" si="14"/>
        <v>42948</v>
      </c>
      <c r="AD25" s="183">
        <f t="shared" si="15"/>
        <v>14000</v>
      </c>
      <c r="AE25" s="308">
        <f t="shared" si="16"/>
        <v>7000</v>
      </c>
      <c r="AF25" s="186">
        <f t="shared" si="17"/>
        <v>3360</v>
      </c>
      <c r="AG25" s="190" t="str">
        <f t="shared" si="3"/>
        <v>Yes</v>
      </c>
      <c r="AH25" s="23"/>
      <c r="AI25" s="4"/>
      <c r="AJ25" s="71"/>
      <c r="AK25" s="71"/>
      <c r="AL25" s="71"/>
      <c r="BC25" s="261">
        <f t="shared" si="11"/>
        <v>52.000000000000028</v>
      </c>
      <c r="BD25" s="259">
        <f t="shared" si="6"/>
        <v>1400</v>
      </c>
      <c r="BE25" s="260">
        <f t="shared" si="7"/>
        <v>52.000000000000028</v>
      </c>
    </row>
    <row r="26" spans="1:57" ht="16.5">
      <c r="A26" s="39"/>
      <c r="B26" s="11"/>
      <c r="C26" s="12"/>
      <c r="D26" s="12"/>
      <c r="E26" s="12"/>
      <c r="F26" s="12"/>
      <c r="G26" s="12"/>
      <c r="H26" s="12"/>
      <c r="I26" s="12"/>
      <c r="J26" s="12"/>
      <c r="K26" s="12"/>
      <c r="L26" s="12"/>
      <c r="M26" s="12"/>
      <c r="N26" s="12"/>
      <c r="O26" s="12"/>
      <c r="P26" s="12"/>
      <c r="Q26" s="12"/>
      <c r="R26" s="23"/>
      <c r="S26" s="23"/>
      <c r="T26" s="12"/>
      <c r="U26" s="65"/>
      <c r="W26" s="153">
        <f t="shared" si="1"/>
        <v>42309</v>
      </c>
      <c r="X26" s="154">
        <f t="shared" si="8"/>
        <v>11</v>
      </c>
      <c r="Y26" s="155">
        <v>69.5</v>
      </c>
      <c r="Z26" s="156">
        <f t="shared" si="0"/>
        <v>13650</v>
      </c>
      <c r="AA26" s="157">
        <f>Z26-Z25</f>
        <v>0</v>
      </c>
      <c r="AC26" s="182">
        <f t="shared" si="14"/>
        <v>42979</v>
      </c>
      <c r="AD26" s="183">
        <f t="shared" si="15"/>
        <v>14000</v>
      </c>
      <c r="AE26" s="308">
        <f t="shared" si="16"/>
        <v>7000</v>
      </c>
      <c r="AF26" s="186">
        <f t="shared" si="17"/>
        <v>2800</v>
      </c>
      <c r="AG26" s="190" t="str">
        <f t="shared" si="3"/>
        <v>Yes</v>
      </c>
      <c r="AH26" s="23"/>
      <c r="AI26" s="4"/>
      <c r="AJ26" s="71"/>
      <c r="AK26" s="71"/>
      <c r="AL26" s="71"/>
      <c r="BC26" s="261">
        <f t="shared" si="11"/>
        <v>52.10000000000003</v>
      </c>
      <c r="BD26" s="259">
        <f t="shared" si="6"/>
        <v>1470</v>
      </c>
      <c r="BE26" s="260">
        <f t="shared" si="7"/>
        <v>52.10000000000003</v>
      </c>
    </row>
    <row r="27" spans="1:57" ht="16.5">
      <c r="A27" s="39"/>
      <c r="B27" s="11"/>
      <c r="C27" s="12"/>
      <c r="D27" s="12"/>
      <c r="E27" s="12"/>
      <c r="F27" s="12"/>
      <c r="G27" s="12"/>
      <c r="H27" s="12"/>
      <c r="I27" s="12"/>
      <c r="J27" s="12"/>
      <c r="K27" s="12"/>
      <c r="L27" s="12"/>
      <c r="M27" s="12"/>
      <c r="N27" s="12"/>
      <c r="O27" s="12"/>
      <c r="P27" s="12"/>
      <c r="Q27"/>
      <c r="R27"/>
      <c r="S27"/>
      <c r="T27"/>
      <c r="U27" s="65"/>
      <c r="W27" s="153">
        <f t="shared" si="1"/>
        <v>42339</v>
      </c>
      <c r="X27" s="154">
        <f t="shared" si="8"/>
        <v>12</v>
      </c>
      <c r="Y27" s="155">
        <v>69.5</v>
      </c>
      <c r="Z27" s="156">
        <f t="shared" si="0"/>
        <v>13650</v>
      </c>
      <c r="AA27" s="157">
        <f>Z27-Z26</f>
        <v>0</v>
      </c>
      <c r="AC27" s="182">
        <f t="shared" si="14"/>
        <v>43009</v>
      </c>
      <c r="AD27" s="183">
        <f t="shared" si="15"/>
        <v>14000</v>
      </c>
      <c r="AE27" s="308">
        <f t="shared" si="16"/>
        <v>7000</v>
      </c>
      <c r="AF27" s="186">
        <f t="shared" si="17"/>
        <v>2310</v>
      </c>
      <c r="AG27" s="190" t="str">
        <f t="shared" si="3"/>
        <v>Yes</v>
      </c>
      <c r="AH27" s="23"/>
      <c r="AI27" s="4"/>
      <c r="AJ27" s="71"/>
      <c r="AK27" s="71"/>
      <c r="AL27" s="71"/>
      <c r="BC27" s="261">
        <f t="shared" si="11"/>
        <v>52.200000000000031</v>
      </c>
      <c r="BD27" s="259">
        <f t="shared" si="6"/>
        <v>1540</v>
      </c>
      <c r="BE27" s="260">
        <f t="shared" si="7"/>
        <v>52.200000000000031</v>
      </c>
    </row>
    <row r="28" spans="1:57" ht="16.5">
      <c r="A28" s="39"/>
      <c r="B28" s="11"/>
      <c r="C28" s="12"/>
      <c r="D28" s="12"/>
      <c r="E28" s="12"/>
      <c r="F28" s="12"/>
      <c r="G28" s="12"/>
      <c r="H28" s="12"/>
      <c r="I28" s="12"/>
      <c r="J28" s="12"/>
      <c r="K28" s="12"/>
      <c r="L28" s="12"/>
      <c r="M28" s="12"/>
      <c r="N28" s="12"/>
      <c r="O28" s="12"/>
      <c r="P28" s="12"/>
      <c r="Q28"/>
      <c r="R28"/>
      <c r="S28"/>
      <c r="T28"/>
      <c r="U28" s="65"/>
      <c r="W28" s="153">
        <f t="shared" si="1"/>
        <v>42370</v>
      </c>
      <c r="X28" s="154">
        <f t="shared" si="8"/>
        <v>1</v>
      </c>
      <c r="Y28" s="155">
        <v>69.5</v>
      </c>
      <c r="Z28" s="156">
        <f t="shared" si="0"/>
        <v>13650</v>
      </c>
      <c r="AA28" s="157">
        <f t="shared" ref="AA28:AA39" si="18">Z28-Z27</f>
        <v>0</v>
      </c>
      <c r="AC28" s="182">
        <f t="shared" si="14"/>
        <v>43040</v>
      </c>
      <c r="AD28" s="183">
        <f t="shared" si="15"/>
        <v>14000</v>
      </c>
      <c r="AE28" s="308">
        <f t="shared" si="16"/>
        <v>7000</v>
      </c>
      <c r="AF28" s="186">
        <f t="shared" si="17"/>
        <v>1960</v>
      </c>
      <c r="AG28" s="190" t="str">
        <f t="shared" si="3"/>
        <v>Yes</v>
      </c>
      <c r="AH28" s="23"/>
      <c r="AI28" s="4"/>
      <c r="AJ28" s="71"/>
      <c r="AK28" s="71"/>
      <c r="AL28" s="71"/>
      <c r="BC28" s="261">
        <f t="shared" si="11"/>
        <v>52.300000000000033</v>
      </c>
      <c r="BD28" s="259">
        <f t="shared" si="6"/>
        <v>1610</v>
      </c>
      <c r="BE28" s="260">
        <f t="shared" si="7"/>
        <v>52.300000000000033</v>
      </c>
    </row>
    <row r="29" spans="1:57" ht="16.5">
      <c r="A29" s="39"/>
      <c r="B29" s="11"/>
      <c r="C29" s="12"/>
      <c r="D29" s="12"/>
      <c r="E29" s="12"/>
      <c r="F29" s="12"/>
      <c r="G29" s="12"/>
      <c r="H29" s="12"/>
      <c r="I29" s="12"/>
      <c r="J29" s="12"/>
      <c r="K29" s="12"/>
      <c r="L29" s="12"/>
      <c r="M29" s="12"/>
      <c r="N29" s="12"/>
      <c r="O29" s="12"/>
      <c r="P29" s="12"/>
      <c r="Q29"/>
      <c r="R29"/>
      <c r="S29"/>
      <c r="T29"/>
      <c r="U29" s="65"/>
      <c r="W29" s="153">
        <f t="shared" si="1"/>
        <v>42401</v>
      </c>
      <c r="X29" s="154">
        <f t="shared" si="8"/>
        <v>2</v>
      </c>
      <c r="Y29" s="155">
        <v>69.5</v>
      </c>
      <c r="Z29" s="156">
        <f t="shared" si="0"/>
        <v>13650</v>
      </c>
      <c r="AA29" s="157">
        <f t="shared" si="18"/>
        <v>0</v>
      </c>
      <c r="AC29" s="182">
        <f>DATE(YEAR(AC28),MONTH(AC28)+1,DAY(AC28))</f>
        <v>43070</v>
      </c>
      <c r="AD29" s="183">
        <f t="shared" si="15"/>
        <v>14000</v>
      </c>
      <c r="AE29" s="308">
        <f t="shared" si="16"/>
        <v>7000</v>
      </c>
      <c r="AF29" s="186">
        <f t="shared" si="17"/>
        <v>1680</v>
      </c>
      <c r="AG29" s="190" t="str">
        <f t="shared" si="3"/>
        <v>Yes</v>
      </c>
      <c r="AH29" s="23"/>
      <c r="AI29" s="4"/>
      <c r="AJ29" s="71"/>
      <c r="AK29" s="71"/>
      <c r="AL29" s="71"/>
      <c r="BC29" s="261">
        <f t="shared" si="11"/>
        <v>52.400000000000034</v>
      </c>
      <c r="BD29" s="259">
        <f t="shared" si="6"/>
        <v>1680</v>
      </c>
      <c r="BE29" s="260">
        <f t="shared" si="7"/>
        <v>52.400000000000034</v>
      </c>
    </row>
    <row r="30" spans="1:57" ht="16.5">
      <c r="A30" s="39"/>
      <c r="B30" s="11"/>
      <c r="C30" s="12"/>
      <c r="D30" s="12"/>
      <c r="E30" s="12"/>
      <c r="F30" s="12"/>
      <c r="G30" s="12"/>
      <c r="H30" s="12"/>
      <c r="I30" s="12"/>
      <c r="J30" s="12"/>
      <c r="K30" s="12"/>
      <c r="L30" s="12"/>
      <c r="M30" s="12"/>
      <c r="N30" s="12"/>
      <c r="O30" s="12"/>
      <c r="P30" s="12"/>
      <c r="Q30"/>
      <c r="R30"/>
      <c r="S30"/>
      <c r="T30"/>
      <c r="U30" s="65"/>
      <c r="W30" s="153">
        <f t="shared" si="1"/>
        <v>42430</v>
      </c>
      <c r="X30" s="154">
        <f t="shared" si="8"/>
        <v>3</v>
      </c>
      <c r="Y30" s="160"/>
      <c r="Z30" s="156" t="e">
        <f t="shared" si="0"/>
        <v>#N/A</v>
      </c>
      <c r="AA30" s="157" t="e">
        <f t="shared" si="18"/>
        <v>#N/A</v>
      </c>
      <c r="AC30" s="182">
        <f>DATE(YEAR(AC29),MONTH(AC29)+1,DAY(AC29))</f>
        <v>43101</v>
      </c>
      <c r="AD30" s="183">
        <f t="shared" si="15"/>
        <v>14000</v>
      </c>
      <c r="AE30" s="308">
        <f t="shared" si="16"/>
        <v>7000</v>
      </c>
      <c r="AF30" s="186">
        <f t="shared" si="17"/>
        <v>1400</v>
      </c>
      <c r="AG30" s="190" t="str">
        <f t="shared" si="3"/>
        <v>Yes</v>
      </c>
      <c r="AH30" s="23"/>
      <c r="AI30" s="4"/>
      <c r="AJ30" s="71"/>
      <c r="AK30" s="71"/>
      <c r="AL30" s="71"/>
      <c r="BC30" s="261">
        <f t="shared" si="11"/>
        <v>52.500000000000036</v>
      </c>
      <c r="BD30" s="259">
        <f t="shared" si="6"/>
        <v>1750</v>
      </c>
      <c r="BE30" s="260">
        <f t="shared" si="7"/>
        <v>52.500000000000036</v>
      </c>
    </row>
    <row r="31" spans="1:57" ht="16.5">
      <c r="A31" s="39"/>
      <c r="B31" s="11"/>
      <c r="C31" s="12"/>
      <c r="D31" s="12"/>
      <c r="E31" s="12"/>
      <c r="F31" s="12"/>
      <c r="G31" s="12"/>
      <c r="H31" s="12"/>
      <c r="I31" s="12"/>
      <c r="J31" s="12"/>
      <c r="K31" s="12"/>
      <c r="L31" s="12"/>
      <c r="M31" s="12"/>
      <c r="N31" s="12"/>
      <c r="O31" s="12"/>
      <c r="P31" s="12"/>
      <c r="Q31"/>
      <c r="R31"/>
      <c r="S31"/>
      <c r="T31"/>
      <c r="U31" s="65"/>
      <c r="W31" s="153">
        <f t="shared" si="1"/>
        <v>42461</v>
      </c>
      <c r="X31" s="154">
        <f t="shared" si="8"/>
        <v>4</v>
      </c>
      <c r="Y31" s="160"/>
      <c r="Z31" s="156" t="e">
        <f t="shared" si="0"/>
        <v>#N/A</v>
      </c>
      <c r="AA31" s="157" t="e">
        <f t="shared" si="18"/>
        <v>#N/A</v>
      </c>
      <c r="AC31" s="182">
        <f t="shared" si="14"/>
        <v>43132</v>
      </c>
      <c r="AD31" s="183">
        <f t="shared" si="15"/>
        <v>14000</v>
      </c>
      <c r="AE31" s="308">
        <f t="shared" si="16"/>
        <v>7000</v>
      </c>
      <c r="AF31" s="186">
        <f t="shared" si="17"/>
        <v>1050</v>
      </c>
      <c r="AG31" s="190" t="str">
        <f t="shared" si="3"/>
        <v>Yes</v>
      </c>
      <c r="AH31" s="23"/>
      <c r="AI31" s="4"/>
      <c r="AJ31" s="71"/>
      <c r="AK31" s="71"/>
      <c r="AL31" s="71"/>
      <c r="BC31" s="261">
        <f t="shared" si="11"/>
        <v>52.600000000000037</v>
      </c>
      <c r="BD31" s="259">
        <f t="shared" si="6"/>
        <v>1820</v>
      </c>
      <c r="BE31" s="260">
        <f t="shared" si="7"/>
        <v>52.600000000000037</v>
      </c>
    </row>
    <row r="32" spans="1:57" ht="16.5">
      <c r="A32" s="39"/>
      <c r="B32" s="11"/>
      <c r="C32" s="12"/>
      <c r="D32" s="12"/>
      <c r="E32" s="12"/>
      <c r="F32" s="12"/>
      <c r="G32" s="12"/>
      <c r="H32" s="12"/>
      <c r="I32" s="12"/>
      <c r="J32" s="12"/>
      <c r="K32" s="12"/>
      <c r="L32" s="12"/>
      <c r="M32" s="12"/>
      <c r="N32" s="12"/>
      <c r="O32" s="12"/>
      <c r="P32" s="12"/>
      <c r="Q32" s="12"/>
      <c r="R32" s="67"/>
      <c r="S32" s="23"/>
      <c r="T32" s="23"/>
      <c r="U32" s="65"/>
      <c r="W32" s="153">
        <f t="shared" si="1"/>
        <v>42491</v>
      </c>
      <c r="X32" s="154">
        <f t="shared" si="8"/>
        <v>5</v>
      </c>
      <c r="Y32" s="160"/>
      <c r="Z32" s="156" t="e">
        <f t="shared" si="0"/>
        <v>#N/A</v>
      </c>
      <c r="AA32" s="157" t="e">
        <f t="shared" si="18"/>
        <v>#N/A</v>
      </c>
      <c r="AC32" s="182">
        <f t="shared" si="14"/>
        <v>43160</v>
      </c>
      <c r="AD32" s="183">
        <f t="shared" si="15"/>
        <v>14000</v>
      </c>
      <c r="AE32" s="308">
        <f t="shared" si="16"/>
        <v>7000</v>
      </c>
      <c r="AF32" s="186">
        <f t="shared" si="17"/>
        <v>560</v>
      </c>
      <c r="AG32" s="190" t="str">
        <f t="shared" si="3"/>
        <v>Yes</v>
      </c>
      <c r="AH32" s="23"/>
      <c r="AI32" s="4"/>
      <c r="AJ32" s="71"/>
      <c r="AK32" s="71"/>
      <c r="AL32" s="71"/>
      <c r="BC32" s="261">
        <f t="shared" si="11"/>
        <v>52.700000000000038</v>
      </c>
      <c r="BD32" s="259">
        <f t="shared" si="6"/>
        <v>1890</v>
      </c>
      <c r="BE32" s="260">
        <f t="shared" si="7"/>
        <v>52.700000000000038</v>
      </c>
    </row>
    <row r="33" spans="1:57" ht="16.5">
      <c r="A33" s="39"/>
      <c r="B33" s="11"/>
      <c r="C33" s="12"/>
      <c r="D33" s="12"/>
      <c r="E33" s="12"/>
      <c r="F33" s="12"/>
      <c r="G33" s="12"/>
      <c r="H33" s="12"/>
      <c r="I33" s="12"/>
      <c r="J33" s="12"/>
      <c r="K33" s="12"/>
      <c r="L33" s="12"/>
      <c r="M33" s="12"/>
      <c r="N33" s="12"/>
      <c r="O33" s="12"/>
      <c r="P33" s="12"/>
      <c r="Q33" s="12"/>
      <c r="R33" s="67"/>
      <c r="S33" s="23"/>
      <c r="T33" s="23"/>
      <c r="U33" s="65"/>
      <c r="W33" s="153">
        <f t="shared" si="1"/>
        <v>42522</v>
      </c>
      <c r="X33" s="154">
        <f t="shared" si="8"/>
        <v>6</v>
      </c>
      <c r="Y33" s="160"/>
      <c r="Z33" s="156" t="e">
        <f t="shared" si="0"/>
        <v>#N/A</v>
      </c>
      <c r="AA33" s="157" t="e">
        <f t="shared" si="18"/>
        <v>#N/A</v>
      </c>
      <c r="AC33" s="182">
        <f t="shared" si="14"/>
        <v>43191</v>
      </c>
      <c r="AD33" s="183">
        <f t="shared" si="15"/>
        <v>14000</v>
      </c>
      <c r="AE33" s="308">
        <f t="shared" si="16"/>
        <v>7000</v>
      </c>
      <c r="AF33" s="186">
        <f t="shared" si="17"/>
        <v>0</v>
      </c>
      <c r="AG33" s="190" t="str">
        <f t="shared" si="3"/>
        <v>Yes</v>
      </c>
      <c r="AH33" s="23"/>
      <c r="AI33" s="4"/>
      <c r="AJ33" s="71"/>
      <c r="AK33" s="71"/>
      <c r="AL33" s="71"/>
      <c r="BC33" s="261">
        <f t="shared" si="11"/>
        <v>52.80000000000004</v>
      </c>
      <c r="BD33" s="259">
        <f t="shared" si="6"/>
        <v>1960</v>
      </c>
      <c r="BE33" s="260">
        <f t="shared" si="7"/>
        <v>52.80000000000004</v>
      </c>
    </row>
    <row r="34" spans="1:57" ht="16.5">
      <c r="A34" s="39"/>
      <c r="B34" s="11"/>
      <c r="C34" s="12"/>
      <c r="D34" s="12"/>
      <c r="E34" s="12"/>
      <c r="F34" s="12"/>
      <c r="G34" s="12"/>
      <c r="H34" s="12"/>
      <c r="I34" s="12"/>
      <c r="J34" s="12"/>
      <c r="K34" s="12"/>
      <c r="L34" s="12"/>
      <c r="M34" s="12"/>
      <c r="N34" s="12"/>
      <c r="O34" s="12"/>
      <c r="P34" s="12"/>
      <c r="Q34" s="12"/>
      <c r="R34" s="67"/>
      <c r="S34" s="23"/>
      <c r="T34" s="23"/>
      <c r="U34" s="65"/>
      <c r="W34" s="153">
        <f t="shared" si="1"/>
        <v>42552</v>
      </c>
      <c r="X34" s="154">
        <f t="shared" si="8"/>
        <v>7</v>
      </c>
      <c r="Y34" s="160"/>
      <c r="Z34" s="156" t="e">
        <f t="shared" si="0"/>
        <v>#N/A</v>
      </c>
      <c r="AA34" s="157" t="e">
        <f t="shared" si="18"/>
        <v>#N/A</v>
      </c>
      <c r="AC34" s="182">
        <f t="shared" si="14"/>
        <v>43221</v>
      </c>
      <c r="AD34" s="183">
        <f t="shared" si="15"/>
        <v>14000</v>
      </c>
      <c r="AE34" s="308">
        <f t="shared" si="16"/>
        <v>7000</v>
      </c>
      <c r="AF34" s="186">
        <f t="shared" si="17"/>
        <v>-630</v>
      </c>
      <c r="AG34" s="190" t="str">
        <f t="shared" si="3"/>
        <v>Yes</v>
      </c>
      <c r="AH34" s="23"/>
      <c r="AI34" s="4"/>
      <c r="AJ34" s="71"/>
      <c r="AK34" s="71"/>
      <c r="AL34" s="71"/>
      <c r="BC34" s="261">
        <f t="shared" si="11"/>
        <v>52.900000000000041</v>
      </c>
      <c r="BD34" s="259">
        <f t="shared" si="6"/>
        <v>2030</v>
      </c>
      <c r="BE34" s="260">
        <f t="shared" si="7"/>
        <v>52.900000000000041</v>
      </c>
    </row>
    <row r="35" spans="1:57" ht="16.5">
      <c r="A35" s="39"/>
      <c r="B35" s="11"/>
      <c r="C35" s="12"/>
      <c r="D35" s="12"/>
      <c r="E35" s="12"/>
      <c r="F35" s="12"/>
      <c r="G35" s="12"/>
      <c r="H35" s="12"/>
      <c r="I35" s="12"/>
      <c r="J35" s="12"/>
      <c r="K35" s="12"/>
      <c r="L35" s="12"/>
      <c r="M35" s="12"/>
      <c r="N35" s="12"/>
      <c r="O35" s="12"/>
      <c r="P35" s="12"/>
      <c r="Q35" s="12"/>
      <c r="R35" s="67"/>
      <c r="S35" s="23"/>
      <c r="T35" s="23"/>
      <c r="U35" s="65"/>
      <c r="W35" s="153">
        <f t="shared" si="1"/>
        <v>42583</v>
      </c>
      <c r="X35" s="154">
        <f t="shared" si="8"/>
        <v>8</v>
      </c>
      <c r="Y35" s="160"/>
      <c r="Z35" s="156" t="e">
        <f t="shared" si="0"/>
        <v>#N/A</v>
      </c>
      <c r="AA35" s="157" t="e">
        <f t="shared" si="18"/>
        <v>#N/A</v>
      </c>
      <c r="AC35" s="182">
        <f t="shared" si="14"/>
        <v>43252</v>
      </c>
      <c r="AD35" s="183">
        <f t="shared" si="15"/>
        <v>14000</v>
      </c>
      <c r="AE35" s="308">
        <f t="shared" si="16"/>
        <v>7000</v>
      </c>
      <c r="AF35" s="186">
        <f t="shared" si="17"/>
        <v>-1330</v>
      </c>
      <c r="AG35" s="190" t="str">
        <f t="shared" si="3"/>
        <v>Yes</v>
      </c>
      <c r="AH35" s="23"/>
      <c r="AI35" s="4"/>
      <c r="AJ35" s="71"/>
      <c r="AK35" s="71"/>
      <c r="AL35" s="71"/>
      <c r="BC35" s="261">
        <f t="shared" si="11"/>
        <v>53.000000000000043</v>
      </c>
      <c r="BD35" s="259">
        <f t="shared" si="6"/>
        <v>2100</v>
      </c>
      <c r="BE35" s="260">
        <f t="shared" si="7"/>
        <v>53.000000000000043</v>
      </c>
    </row>
    <row r="36" spans="1:57" ht="16.5">
      <c r="A36" s="39"/>
      <c r="B36" s="11"/>
      <c r="C36" s="12"/>
      <c r="D36" s="12"/>
      <c r="E36" s="12"/>
      <c r="F36" s="12"/>
      <c r="G36" s="12"/>
      <c r="H36" s="12"/>
      <c r="I36" s="12"/>
      <c r="J36" s="12"/>
      <c r="K36" s="12"/>
      <c r="L36" s="12"/>
      <c r="M36" s="12"/>
      <c r="N36" s="12"/>
      <c r="O36" s="12"/>
      <c r="P36" s="12"/>
      <c r="Q36" s="68"/>
      <c r="R36" s="69"/>
      <c r="S36" s="68"/>
      <c r="T36" s="68"/>
      <c r="U36" s="65"/>
      <c r="W36" s="153">
        <f t="shared" si="1"/>
        <v>42614</v>
      </c>
      <c r="X36" s="154">
        <f t="shared" si="8"/>
        <v>9</v>
      </c>
      <c r="Y36" s="160"/>
      <c r="Z36" s="156" t="e">
        <f t="shared" si="0"/>
        <v>#N/A</v>
      </c>
      <c r="AA36" s="157" t="e">
        <f t="shared" si="18"/>
        <v>#N/A</v>
      </c>
      <c r="AC36" s="182">
        <f t="shared" si="14"/>
        <v>43282</v>
      </c>
      <c r="AD36" s="183">
        <f t="shared" si="15"/>
        <v>14000</v>
      </c>
      <c r="AE36" s="308">
        <f t="shared" si="16"/>
        <v>7000</v>
      </c>
      <c r="AF36" s="186">
        <f t="shared" si="17"/>
        <v>-2170</v>
      </c>
      <c r="AG36" s="190" t="str">
        <f t="shared" si="3"/>
        <v>Yes</v>
      </c>
      <c r="AH36" s="23"/>
      <c r="AI36" s="4"/>
      <c r="AJ36" s="71"/>
      <c r="AK36" s="71"/>
      <c r="AL36" s="71"/>
      <c r="BC36" s="261">
        <f t="shared" si="11"/>
        <v>53.100000000000044</v>
      </c>
      <c r="BD36" s="259">
        <f t="shared" si="6"/>
        <v>2170</v>
      </c>
      <c r="BE36" s="260">
        <f t="shared" si="7"/>
        <v>53.100000000000044</v>
      </c>
    </row>
    <row r="37" spans="1:57" ht="18.75" customHeight="1">
      <c r="A37" s="39"/>
      <c r="B37" s="11"/>
      <c r="C37" s="12"/>
      <c r="D37" s="12"/>
      <c r="E37" s="12"/>
      <c r="F37" s="12"/>
      <c r="G37" s="12"/>
      <c r="H37" s="12"/>
      <c r="I37" s="12"/>
      <c r="J37" s="12"/>
      <c r="K37" s="12"/>
      <c r="L37" s="12"/>
      <c r="M37" s="12"/>
      <c r="N37" s="12"/>
      <c r="O37" s="12"/>
      <c r="P37" s="12"/>
      <c r="Q37" s="70"/>
      <c r="R37" s="69"/>
      <c r="S37" s="68"/>
      <c r="T37" s="68"/>
      <c r="U37" s="65"/>
      <c r="W37" s="153">
        <f t="shared" si="1"/>
        <v>42644</v>
      </c>
      <c r="X37" s="154">
        <f t="shared" si="8"/>
        <v>10</v>
      </c>
      <c r="Y37" s="160"/>
      <c r="Z37" s="156" t="e">
        <f t="shared" si="0"/>
        <v>#N/A</v>
      </c>
      <c r="AA37" s="157" t="e">
        <f t="shared" si="18"/>
        <v>#N/A</v>
      </c>
      <c r="AC37" s="182">
        <f t="shared" si="14"/>
        <v>43313</v>
      </c>
      <c r="AD37" s="183">
        <f t="shared" si="15"/>
        <v>14000</v>
      </c>
      <c r="AE37" s="308">
        <f t="shared" si="16"/>
        <v>7000</v>
      </c>
      <c r="AF37" s="186">
        <f t="shared" si="17"/>
        <v>-2940</v>
      </c>
      <c r="AG37" s="190" t="str">
        <f t="shared" si="3"/>
        <v>Yes</v>
      </c>
      <c r="AH37" s="23"/>
      <c r="AI37" s="4"/>
      <c r="AJ37" s="71"/>
      <c r="AK37" s="71"/>
      <c r="AL37" s="71"/>
      <c r="BC37" s="261">
        <f t="shared" si="11"/>
        <v>53.200000000000045</v>
      </c>
      <c r="BD37" s="259">
        <f t="shared" si="6"/>
        <v>2240</v>
      </c>
      <c r="BE37" s="260">
        <f t="shared" si="7"/>
        <v>53.200000000000045</v>
      </c>
    </row>
    <row r="38" spans="1:57" ht="16.5">
      <c r="A38" s="39"/>
      <c r="B38" s="11"/>
      <c r="C38" s="12"/>
      <c r="D38" s="12"/>
      <c r="E38" s="12"/>
      <c r="F38" s="12"/>
      <c r="G38" s="12"/>
      <c r="H38" s="12"/>
      <c r="I38" s="12"/>
      <c r="J38" s="12"/>
      <c r="K38" s="12"/>
      <c r="L38" s="12"/>
      <c r="M38" s="12"/>
      <c r="N38" s="12"/>
      <c r="O38" s="12"/>
      <c r="P38" s="12"/>
      <c r="Q38" s="12"/>
      <c r="R38" s="23"/>
      <c r="S38" s="23"/>
      <c r="T38" s="12"/>
      <c r="U38" s="65"/>
      <c r="W38" s="153">
        <f t="shared" si="1"/>
        <v>42675</v>
      </c>
      <c r="X38" s="154">
        <f t="shared" si="8"/>
        <v>11</v>
      </c>
      <c r="Y38" s="160"/>
      <c r="Z38" s="156" t="e">
        <f t="shared" si="0"/>
        <v>#N/A</v>
      </c>
      <c r="AA38" s="157" t="e">
        <f t="shared" si="18"/>
        <v>#N/A</v>
      </c>
      <c r="AC38" s="182">
        <f t="shared" si="14"/>
        <v>43344</v>
      </c>
      <c r="AD38" s="183">
        <f t="shared" si="15"/>
        <v>14000</v>
      </c>
      <c r="AE38" s="308">
        <f t="shared" si="16"/>
        <v>7000</v>
      </c>
      <c r="AF38" s="186">
        <f t="shared" si="17"/>
        <v>-3500</v>
      </c>
      <c r="AG38" s="190" t="str">
        <f t="shared" si="3"/>
        <v>Yes</v>
      </c>
      <c r="AH38" s="23"/>
      <c r="AI38" s="4"/>
      <c r="AJ38" s="71"/>
      <c r="AK38" s="71"/>
      <c r="AL38" s="71"/>
      <c r="BC38" s="261">
        <f t="shared" si="11"/>
        <v>53.300000000000047</v>
      </c>
      <c r="BD38" s="259">
        <f t="shared" si="6"/>
        <v>2310</v>
      </c>
      <c r="BE38" s="260">
        <f t="shared" si="7"/>
        <v>53.300000000000047</v>
      </c>
    </row>
    <row r="39" spans="1:57" ht="17.25" thickBot="1">
      <c r="A39" s="39"/>
      <c r="B39" s="11"/>
      <c r="C39" s="12"/>
      <c r="D39" s="12"/>
      <c r="E39" s="12"/>
      <c r="F39" s="12"/>
      <c r="G39" s="12"/>
      <c r="H39" s="12"/>
      <c r="I39" s="12"/>
      <c r="J39" s="12"/>
      <c r="K39" s="12"/>
      <c r="L39" s="12"/>
      <c r="M39" s="12"/>
      <c r="N39" s="12"/>
      <c r="O39" s="12"/>
      <c r="P39" s="12"/>
      <c r="Q39" s="12"/>
      <c r="R39" s="23"/>
      <c r="S39" s="23"/>
      <c r="T39" s="12"/>
      <c r="U39" s="65"/>
      <c r="W39" s="161">
        <f t="shared" si="1"/>
        <v>42705</v>
      </c>
      <c r="X39" s="162">
        <f t="shared" si="8"/>
        <v>12</v>
      </c>
      <c r="Y39" s="163"/>
      <c r="Z39" s="164" t="e">
        <f t="shared" si="0"/>
        <v>#N/A</v>
      </c>
      <c r="AA39" s="165" t="e">
        <f t="shared" si="18"/>
        <v>#N/A</v>
      </c>
      <c r="AC39" s="182">
        <f t="shared" si="14"/>
        <v>43374</v>
      </c>
      <c r="AD39" s="183">
        <f t="shared" si="15"/>
        <v>14000</v>
      </c>
      <c r="AE39" s="308">
        <f t="shared" si="16"/>
        <v>7000</v>
      </c>
      <c r="AF39" s="186">
        <f t="shared" si="17"/>
        <v>-3990</v>
      </c>
      <c r="AG39" s="190" t="str">
        <f t="shared" si="3"/>
        <v>Yes</v>
      </c>
      <c r="AH39" s="23"/>
      <c r="AI39" s="4"/>
      <c r="AJ39" s="71"/>
      <c r="AK39" s="71"/>
      <c r="AL39" s="71"/>
      <c r="BC39" s="261">
        <f t="shared" si="11"/>
        <v>53.400000000000048</v>
      </c>
      <c r="BD39" s="259">
        <f t="shared" si="6"/>
        <v>2380</v>
      </c>
      <c r="BE39" s="260">
        <f t="shared" si="7"/>
        <v>53.400000000000048</v>
      </c>
    </row>
    <row r="40" spans="1:57" ht="16.5">
      <c r="A40" s="39"/>
      <c r="B40" s="11"/>
      <c r="C40" s="12"/>
      <c r="D40" s="12"/>
      <c r="E40" s="12"/>
      <c r="F40" s="12"/>
      <c r="G40" s="12"/>
      <c r="H40" s="12"/>
      <c r="I40" s="12"/>
      <c r="J40" s="12"/>
      <c r="K40" s="12"/>
      <c r="L40" s="12"/>
      <c r="M40" s="12"/>
      <c r="N40" s="12"/>
      <c r="O40" s="12"/>
      <c r="P40" s="12"/>
      <c r="Q40" s="12"/>
      <c r="R40" s="23"/>
      <c r="S40" s="23"/>
      <c r="T40" s="12"/>
      <c r="U40" s="65"/>
      <c r="W40"/>
      <c r="X40"/>
      <c r="Y40"/>
      <c r="Z40"/>
      <c r="AA40"/>
      <c r="AC40" s="182">
        <f t="shared" si="14"/>
        <v>43405</v>
      </c>
      <c r="AD40" s="183">
        <f t="shared" si="15"/>
        <v>14000</v>
      </c>
      <c r="AE40" s="308">
        <f t="shared" si="16"/>
        <v>7000</v>
      </c>
      <c r="AF40" s="186">
        <f t="shared" si="17"/>
        <v>-4340</v>
      </c>
      <c r="AG40" s="190" t="str">
        <f t="shared" si="3"/>
        <v>Yes</v>
      </c>
      <c r="AH40" s="23"/>
      <c r="AI40" s="4"/>
      <c r="AJ40" s="71"/>
      <c r="AK40" s="71"/>
      <c r="AL40" s="71"/>
      <c r="BC40" s="261">
        <f>BC39+0.1</f>
        <v>53.50000000000005</v>
      </c>
      <c r="BD40" s="259">
        <f t="shared" si="6"/>
        <v>2450</v>
      </c>
      <c r="BE40" s="260">
        <f t="shared" si="7"/>
        <v>53.50000000000005</v>
      </c>
    </row>
    <row r="41" spans="1:57" ht="16.5">
      <c r="A41" s="39"/>
      <c r="B41" s="11"/>
      <c r="C41" s="12"/>
      <c r="D41" s="12"/>
      <c r="E41" s="12"/>
      <c r="F41" s="12"/>
      <c r="G41" s="12"/>
      <c r="H41" s="12"/>
      <c r="I41" s="12"/>
      <c r="J41" s="12"/>
      <c r="K41" s="12"/>
      <c r="L41" s="12"/>
      <c r="M41" s="12"/>
      <c r="N41" s="12"/>
      <c r="O41" s="12"/>
      <c r="P41" s="12"/>
      <c r="Q41" s="12"/>
      <c r="R41" s="23"/>
      <c r="S41" s="23"/>
      <c r="T41" s="12"/>
      <c r="U41" s="65"/>
      <c r="AC41" s="182">
        <f t="shared" si="14"/>
        <v>43435</v>
      </c>
      <c r="AD41" s="183">
        <f t="shared" si="15"/>
        <v>14000</v>
      </c>
      <c r="AE41" s="308">
        <f t="shared" si="16"/>
        <v>7000</v>
      </c>
      <c r="AF41" s="186">
        <f t="shared" si="17"/>
        <v>-4620</v>
      </c>
      <c r="AG41" s="190" t="str">
        <f t="shared" si="3"/>
        <v>Yes</v>
      </c>
      <c r="AH41" s="23"/>
      <c r="AI41" s="4"/>
      <c r="AJ41" s="71"/>
      <c r="AK41" s="71"/>
      <c r="AL41" s="71"/>
      <c r="BC41" s="261">
        <f t="shared" si="11"/>
        <v>53.600000000000051</v>
      </c>
      <c r="BD41" s="259">
        <f t="shared" si="6"/>
        <v>2520</v>
      </c>
      <c r="BE41" s="260">
        <f t="shared" si="7"/>
        <v>53.600000000000051</v>
      </c>
    </row>
    <row r="42" spans="1:57" ht="16.5">
      <c r="A42" s="39"/>
      <c r="B42" s="11"/>
      <c r="C42" s="12"/>
      <c r="D42" s="12"/>
      <c r="E42" s="12"/>
      <c r="F42" s="12"/>
      <c r="G42" s="12"/>
      <c r="H42" s="12"/>
      <c r="I42" s="12"/>
      <c r="J42" s="12"/>
      <c r="K42" s="12"/>
      <c r="L42" s="12"/>
      <c r="M42" s="12"/>
      <c r="N42" s="12"/>
      <c r="O42" s="12"/>
      <c r="P42" s="12"/>
      <c r="Q42" s="12"/>
      <c r="R42" s="23"/>
      <c r="S42" s="23"/>
      <c r="T42" s="12"/>
      <c r="U42" s="65"/>
      <c r="Y42" s="1"/>
      <c r="AC42" s="182">
        <f t="shared" si="14"/>
        <v>43466</v>
      </c>
      <c r="AD42" s="183">
        <f t="shared" si="15"/>
        <v>14000</v>
      </c>
      <c r="AE42" s="308">
        <f t="shared" si="16"/>
        <v>7000</v>
      </c>
      <c r="AF42" s="186">
        <f t="shared" si="17"/>
        <v>-4900</v>
      </c>
      <c r="AG42" s="190" t="str">
        <f t="shared" si="3"/>
        <v>Yes</v>
      </c>
      <c r="AH42" s="23"/>
      <c r="AI42" s="4"/>
      <c r="AJ42" s="71"/>
      <c r="AK42" s="71"/>
      <c r="AL42" s="71"/>
      <c r="BC42" s="261">
        <f t="shared" si="11"/>
        <v>53.700000000000053</v>
      </c>
      <c r="BD42" s="259">
        <f t="shared" si="6"/>
        <v>2590</v>
      </c>
      <c r="BE42" s="260">
        <f t="shared" si="7"/>
        <v>53.700000000000053</v>
      </c>
    </row>
    <row r="43" spans="1:57" ht="16.5">
      <c r="A43" s="39"/>
      <c r="B43" s="11"/>
      <c r="C43" s="12"/>
      <c r="D43" s="12"/>
      <c r="E43" s="12"/>
      <c r="F43" s="12"/>
      <c r="G43" s="12"/>
      <c r="H43" s="12"/>
      <c r="I43" s="12"/>
      <c r="J43" s="12"/>
      <c r="K43" s="12"/>
      <c r="L43" s="12"/>
      <c r="M43" s="12"/>
      <c r="N43" s="12"/>
      <c r="O43" s="12"/>
      <c r="P43" s="12"/>
      <c r="Q43" s="12"/>
      <c r="R43" s="23"/>
      <c r="S43" s="23"/>
      <c r="T43" s="12"/>
      <c r="U43" s="65"/>
      <c r="Y43" s="1"/>
      <c r="AC43" s="182">
        <f t="shared" si="14"/>
        <v>43497</v>
      </c>
      <c r="AD43" s="183">
        <f t="shared" si="15"/>
        <v>14000</v>
      </c>
      <c r="AE43" s="308">
        <f t="shared" si="16"/>
        <v>7000</v>
      </c>
      <c r="AF43" s="186">
        <f t="shared" si="17"/>
        <v>-5250</v>
      </c>
      <c r="AG43" s="190" t="str">
        <f t="shared" si="3"/>
        <v>Yes</v>
      </c>
      <c r="AH43" s="23"/>
      <c r="AI43" s="4"/>
      <c r="AJ43" s="71"/>
      <c r="AK43" s="71"/>
      <c r="AL43" s="71"/>
      <c r="BC43" s="261">
        <f t="shared" si="11"/>
        <v>53.800000000000054</v>
      </c>
      <c r="BD43" s="259">
        <f t="shared" si="6"/>
        <v>2660</v>
      </c>
      <c r="BE43" s="260">
        <f t="shared" si="7"/>
        <v>53.800000000000054</v>
      </c>
    </row>
    <row r="44" spans="1:57" ht="16.5">
      <c r="A44" s="39"/>
      <c r="B44" s="11"/>
      <c r="C44" s="12"/>
      <c r="D44" s="12"/>
      <c r="E44" s="12"/>
      <c r="F44" s="12"/>
      <c r="G44" s="12"/>
      <c r="H44" s="12"/>
      <c r="I44" s="12"/>
      <c r="J44" s="12"/>
      <c r="K44" s="12"/>
      <c r="L44" s="12"/>
      <c r="M44" s="12"/>
      <c r="N44" s="12"/>
      <c r="O44" s="12"/>
      <c r="P44" s="12"/>
      <c r="Q44" s="12"/>
      <c r="R44" s="23"/>
      <c r="S44" s="23"/>
      <c r="T44" s="12"/>
      <c r="U44" s="65"/>
      <c r="Y44" s="1"/>
      <c r="AC44" s="182">
        <f t="shared" si="14"/>
        <v>43525</v>
      </c>
      <c r="AD44" s="183">
        <f t="shared" si="15"/>
        <v>14000</v>
      </c>
      <c r="AE44" s="308">
        <f t="shared" si="16"/>
        <v>7000</v>
      </c>
      <c r="AF44" s="186">
        <f t="shared" si="17"/>
        <v>-5740</v>
      </c>
      <c r="AG44" s="190" t="str">
        <f t="shared" si="3"/>
        <v>Yes</v>
      </c>
      <c r="AH44" s="23"/>
      <c r="AI44" s="4"/>
      <c r="AJ44" s="71"/>
      <c r="AK44" s="71"/>
      <c r="AL44" s="71"/>
      <c r="BC44" s="261">
        <f t="shared" si="11"/>
        <v>53.900000000000055</v>
      </c>
      <c r="BD44" s="259">
        <f t="shared" si="6"/>
        <v>2730</v>
      </c>
      <c r="BE44" s="260">
        <f t="shared" si="7"/>
        <v>53.900000000000055</v>
      </c>
    </row>
    <row r="45" spans="1:57" ht="16.5">
      <c r="A45" s="39"/>
      <c r="B45" s="11"/>
      <c r="C45" s="12"/>
      <c r="D45" s="12"/>
      <c r="E45" s="12"/>
      <c r="F45" s="12"/>
      <c r="G45" s="12"/>
      <c r="H45" s="12"/>
      <c r="I45" s="12"/>
      <c r="J45" s="12"/>
      <c r="K45" s="12"/>
      <c r="L45" s="12"/>
      <c r="M45" s="12"/>
      <c r="N45" s="12"/>
      <c r="O45" s="12"/>
      <c r="P45" s="12"/>
      <c r="Q45" s="12"/>
      <c r="R45" s="23"/>
      <c r="S45" s="23"/>
      <c r="T45" s="12"/>
      <c r="U45" s="65"/>
      <c r="Y45" s="1"/>
      <c r="AC45" s="182">
        <f t="shared" si="14"/>
        <v>43556</v>
      </c>
      <c r="AD45" s="183">
        <f t="shared" si="15"/>
        <v>14000</v>
      </c>
      <c r="AE45" s="308">
        <f t="shared" si="16"/>
        <v>7000</v>
      </c>
      <c r="AF45" s="186">
        <f t="shared" si="17"/>
        <v>-6300</v>
      </c>
      <c r="AG45" s="190" t="str">
        <f t="shared" si="3"/>
        <v>Yes</v>
      </c>
      <c r="AH45" s="23"/>
      <c r="AI45" s="4"/>
      <c r="AJ45" s="71"/>
      <c r="AK45" s="71"/>
      <c r="AL45" s="71"/>
      <c r="BC45" s="261">
        <f t="shared" si="11"/>
        <v>54.000000000000057</v>
      </c>
      <c r="BD45" s="259">
        <f t="shared" si="6"/>
        <v>2800</v>
      </c>
      <c r="BE45" s="260">
        <f t="shared" si="7"/>
        <v>54.000000000000057</v>
      </c>
    </row>
    <row r="46" spans="1:57" ht="16.5">
      <c r="A46" s="39"/>
      <c r="B46" s="11"/>
      <c r="C46" s="12"/>
      <c r="D46" s="12"/>
      <c r="E46" s="12"/>
      <c r="F46" s="12"/>
      <c r="G46" s="12"/>
      <c r="H46" s="12"/>
      <c r="I46" s="12"/>
      <c r="J46" s="12"/>
      <c r="K46" s="12"/>
      <c r="L46" s="12"/>
      <c r="M46" s="12"/>
      <c r="N46" s="12"/>
      <c r="O46" s="12"/>
      <c r="P46" s="12"/>
      <c r="Q46" s="12"/>
      <c r="R46" s="23"/>
      <c r="S46" s="23"/>
      <c r="T46" s="12"/>
      <c r="U46" s="65"/>
      <c r="Y46" s="1"/>
      <c r="AC46" s="182">
        <f t="shared" si="14"/>
        <v>43586</v>
      </c>
      <c r="AD46" s="183">
        <f t="shared" si="15"/>
        <v>14000</v>
      </c>
      <c r="AE46" s="308">
        <f t="shared" si="16"/>
        <v>7000</v>
      </c>
      <c r="AF46" s="186">
        <f t="shared" si="17"/>
        <v>-6930</v>
      </c>
      <c r="AG46" s="190" t="str">
        <f t="shared" si="3"/>
        <v>Yes</v>
      </c>
      <c r="AH46" s="23"/>
      <c r="AI46" s="4"/>
      <c r="AJ46" s="71"/>
      <c r="AK46" s="71"/>
      <c r="AL46" s="71"/>
      <c r="BC46" s="261">
        <f t="shared" si="11"/>
        <v>54.100000000000058</v>
      </c>
      <c r="BD46" s="259">
        <f t="shared" si="6"/>
        <v>2870</v>
      </c>
      <c r="BE46" s="260">
        <f t="shared" si="7"/>
        <v>54.100000000000058</v>
      </c>
    </row>
    <row r="47" spans="1:57" ht="16.5">
      <c r="A47" s="39"/>
      <c r="B47" s="11"/>
      <c r="C47" s="12"/>
      <c r="D47" s="12"/>
      <c r="E47" s="12"/>
      <c r="F47" s="12"/>
      <c r="G47" s="12"/>
      <c r="H47" s="12"/>
      <c r="I47" s="12"/>
      <c r="J47" s="12"/>
      <c r="K47" s="12"/>
      <c r="L47" s="12"/>
      <c r="M47" s="12"/>
      <c r="N47" s="12"/>
      <c r="O47" s="12"/>
      <c r="P47" s="12"/>
      <c r="Q47" s="12"/>
      <c r="R47" s="23"/>
      <c r="S47" s="23"/>
      <c r="T47" s="12"/>
      <c r="U47" s="65"/>
      <c r="AC47" s="182">
        <f t="shared" si="14"/>
        <v>43617</v>
      </c>
      <c r="AD47" s="183">
        <f t="shared" si="15"/>
        <v>14000</v>
      </c>
      <c r="AE47" s="308">
        <f t="shared" si="16"/>
        <v>7000</v>
      </c>
      <c r="AF47" s="186">
        <f t="shared" si="17"/>
        <v>-7630</v>
      </c>
      <c r="AG47" s="190" t="str">
        <f t="shared" si="3"/>
        <v>Yes</v>
      </c>
      <c r="AH47" s="23"/>
      <c r="AI47" s="4"/>
      <c r="AJ47" s="71"/>
      <c r="AK47" s="71"/>
      <c r="AL47" s="71"/>
      <c r="BC47" s="261">
        <f t="shared" si="11"/>
        <v>54.20000000000006</v>
      </c>
      <c r="BD47" s="259">
        <f t="shared" si="6"/>
        <v>2940</v>
      </c>
      <c r="BE47" s="260">
        <f t="shared" si="7"/>
        <v>54.20000000000006</v>
      </c>
    </row>
    <row r="48" spans="1:57" ht="16.5">
      <c r="A48" s="39"/>
      <c r="B48" s="11"/>
      <c r="C48" s="12"/>
      <c r="D48" s="12"/>
      <c r="E48" s="12"/>
      <c r="F48" s="12"/>
      <c r="G48" s="12"/>
      <c r="H48" s="12"/>
      <c r="I48" s="12"/>
      <c r="J48" s="12"/>
      <c r="K48" s="12"/>
      <c r="L48" s="12"/>
      <c r="M48" s="12"/>
      <c r="N48" s="12"/>
      <c r="O48" s="12"/>
      <c r="P48" s="12"/>
      <c r="Q48" s="12"/>
      <c r="R48" s="23"/>
      <c r="S48" s="23"/>
      <c r="T48" s="12"/>
      <c r="U48" s="65"/>
      <c r="AC48" s="182">
        <f t="shared" si="14"/>
        <v>43647</v>
      </c>
      <c r="AD48" s="183">
        <f t="shared" si="15"/>
        <v>14000</v>
      </c>
      <c r="AE48" s="308">
        <f t="shared" si="16"/>
        <v>7000</v>
      </c>
      <c r="AF48" s="186">
        <f t="shared" si="17"/>
        <v>-8470</v>
      </c>
      <c r="AG48" s="190" t="str">
        <f t="shared" si="3"/>
        <v>Yes</v>
      </c>
      <c r="AH48" s="23"/>
      <c r="AI48" s="4"/>
      <c r="AJ48" s="71"/>
      <c r="AK48" s="71"/>
      <c r="AL48" s="71"/>
      <c r="BC48" s="261">
        <f t="shared" si="11"/>
        <v>54.300000000000061</v>
      </c>
      <c r="BD48" s="259">
        <f t="shared" si="6"/>
        <v>3010</v>
      </c>
      <c r="BE48" s="260">
        <f t="shared" si="7"/>
        <v>54.300000000000061</v>
      </c>
    </row>
    <row r="49" spans="1:57" ht="16.5">
      <c r="A49" s="39"/>
      <c r="B49" s="11"/>
      <c r="C49" s="12"/>
      <c r="D49" s="12"/>
      <c r="E49" s="12"/>
      <c r="F49" s="12"/>
      <c r="G49" s="12"/>
      <c r="H49" s="12"/>
      <c r="I49" s="12"/>
      <c r="J49" s="12"/>
      <c r="K49" s="12"/>
      <c r="L49" s="12"/>
      <c r="M49" s="12"/>
      <c r="N49" s="12"/>
      <c r="O49" s="12"/>
      <c r="P49" s="12"/>
      <c r="Q49" s="12"/>
      <c r="R49" s="23"/>
      <c r="S49" s="23"/>
      <c r="T49" s="12"/>
      <c r="U49" s="65"/>
      <c r="AC49" s="182">
        <f t="shared" si="14"/>
        <v>43678</v>
      </c>
      <c r="AD49" s="183">
        <f t="shared" si="15"/>
        <v>14000</v>
      </c>
      <c r="AE49" s="308">
        <f t="shared" si="16"/>
        <v>7000</v>
      </c>
      <c r="AF49" s="186">
        <f t="shared" si="17"/>
        <v>-9240</v>
      </c>
      <c r="AG49" s="190" t="str">
        <f t="shared" si="3"/>
        <v>Yes</v>
      </c>
      <c r="AH49" s="23"/>
      <c r="AI49" s="4"/>
      <c r="AJ49" s="71"/>
      <c r="AK49" s="71"/>
      <c r="AL49" s="71"/>
      <c r="BC49" s="261">
        <f t="shared" si="11"/>
        <v>54.400000000000063</v>
      </c>
      <c r="BD49" s="259">
        <f t="shared" si="6"/>
        <v>3080</v>
      </c>
      <c r="BE49" s="260">
        <f t="shared" si="7"/>
        <v>54.400000000000063</v>
      </c>
    </row>
    <row r="50" spans="1:57" ht="16.5">
      <c r="A50" s="39"/>
      <c r="B50" s="11"/>
      <c r="C50" s="12"/>
      <c r="D50" s="12"/>
      <c r="E50" s="12"/>
      <c r="F50" s="12"/>
      <c r="G50" s="12"/>
      <c r="H50" s="12"/>
      <c r="I50" s="12"/>
      <c r="J50" s="12"/>
      <c r="K50" s="12"/>
      <c r="L50" s="12"/>
      <c r="M50" s="12"/>
      <c r="N50" s="12"/>
      <c r="O50" s="12"/>
      <c r="P50" s="12"/>
      <c r="Q50" s="12"/>
      <c r="R50" s="23"/>
      <c r="S50" s="23"/>
      <c r="T50" s="12"/>
      <c r="U50" s="65"/>
      <c r="AC50" s="182">
        <f t="shared" si="14"/>
        <v>43709</v>
      </c>
      <c r="AD50" s="183">
        <f t="shared" si="15"/>
        <v>14000</v>
      </c>
      <c r="AE50" s="308">
        <f t="shared" si="16"/>
        <v>7000</v>
      </c>
      <c r="AF50" s="186">
        <f t="shared" si="17"/>
        <v>-9800</v>
      </c>
      <c r="AG50" s="190" t="str">
        <f t="shared" si="3"/>
        <v>Yes</v>
      </c>
      <c r="AH50" s="23"/>
      <c r="AI50" s="4"/>
      <c r="AJ50" s="71"/>
      <c r="AK50" s="71"/>
      <c r="AL50" s="71"/>
      <c r="BC50" s="261">
        <f t="shared" si="11"/>
        <v>54.500000000000064</v>
      </c>
      <c r="BD50" s="259">
        <f t="shared" si="6"/>
        <v>3150</v>
      </c>
      <c r="BE50" s="260">
        <f t="shared" si="7"/>
        <v>54.500000000000064</v>
      </c>
    </row>
    <row r="51" spans="1:57" ht="16.5">
      <c r="A51" s="39"/>
      <c r="B51" s="11"/>
      <c r="C51" s="12"/>
      <c r="D51" s="12"/>
      <c r="E51" s="12"/>
      <c r="F51" s="12"/>
      <c r="G51" s="12"/>
      <c r="H51" s="12"/>
      <c r="I51" s="12"/>
      <c r="J51" s="12"/>
      <c r="K51" s="12"/>
      <c r="L51" s="12"/>
      <c r="M51" s="12"/>
      <c r="N51" s="12"/>
      <c r="O51" s="12"/>
      <c r="P51" s="12"/>
      <c r="Q51" s="12"/>
      <c r="R51" s="23"/>
      <c r="S51" s="23"/>
      <c r="T51" s="12"/>
      <c r="U51" s="65"/>
      <c r="AC51" s="182">
        <f t="shared" si="14"/>
        <v>43739</v>
      </c>
      <c r="AD51" s="183">
        <f t="shared" si="15"/>
        <v>14000</v>
      </c>
      <c r="AE51" s="308">
        <f t="shared" si="16"/>
        <v>7000</v>
      </c>
      <c r="AF51" s="186">
        <f t="shared" si="17"/>
        <v>-10290</v>
      </c>
      <c r="AG51" s="190" t="str">
        <f t="shared" si="3"/>
        <v>Yes</v>
      </c>
      <c r="AH51" s="23"/>
      <c r="AI51" s="4"/>
      <c r="AJ51" s="71"/>
      <c r="AK51" s="71"/>
      <c r="AL51" s="71"/>
      <c r="BC51" s="261">
        <f t="shared" si="11"/>
        <v>54.600000000000065</v>
      </c>
      <c r="BD51" s="259">
        <f t="shared" si="6"/>
        <v>3220</v>
      </c>
      <c r="BE51" s="260">
        <f t="shared" si="7"/>
        <v>54.600000000000065</v>
      </c>
    </row>
    <row r="52" spans="1:57" ht="17.25" thickBot="1">
      <c r="A52" s="39"/>
      <c r="B52" s="11"/>
      <c r="C52" s="12"/>
      <c r="D52" s="12"/>
      <c r="E52" s="12"/>
      <c r="F52" s="12"/>
      <c r="G52" s="12"/>
      <c r="H52" s="12"/>
      <c r="I52" s="12"/>
      <c r="J52" s="12"/>
      <c r="K52" s="12"/>
      <c r="L52" s="12"/>
      <c r="M52" s="12"/>
      <c r="N52" s="12"/>
      <c r="O52" s="12"/>
      <c r="P52" s="12"/>
      <c r="Q52" s="12"/>
      <c r="R52" s="23"/>
      <c r="S52" s="23"/>
      <c r="T52" s="12"/>
      <c r="U52" s="65"/>
      <c r="AC52" s="191">
        <f t="shared" si="14"/>
        <v>43770</v>
      </c>
      <c r="AD52" s="192">
        <f t="shared" si="15"/>
        <v>14000</v>
      </c>
      <c r="AE52" s="309">
        <f t="shared" si="16"/>
        <v>7000</v>
      </c>
      <c r="AF52" s="195">
        <f t="shared" si="17"/>
        <v>-10640</v>
      </c>
      <c r="AG52" s="199" t="str">
        <f t="shared" si="3"/>
        <v>Yes</v>
      </c>
      <c r="AH52" s="23"/>
      <c r="AI52" s="4"/>
      <c r="AJ52" s="71"/>
      <c r="AK52" s="71"/>
      <c r="AL52" s="71"/>
      <c r="BC52" s="261">
        <f t="shared" si="11"/>
        <v>54.700000000000067</v>
      </c>
      <c r="BD52" s="259">
        <f t="shared" si="6"/>
        <v>3290</v>
      </c>
      <c r="BE52" s="260">
        <f t="shared" si="7"/>
        <v>54.700000000000067</v>
      </c>
    </row>
    <row r="53" spans="1:57" ht="16.5">
      <c r="A53" s="39"/>
      <c r="B53" s="11"/>
      <c r="C53" s="12"/>
      <c r="D53" s="12"/>
      <c r="E53" s="12"/>
      <c r="F53" s="12"/>
      <c r="G53" s="12"/>
      <c r="H53" s="12"/>
      <c r="I53" s="12"/>
      <c r="J53" s="12"/>
      <c r="K53" s="12"/>
      <c r="L53" s="12"/>
      <c r="M53" s="12"/>
      <c r="N53" s="12"/>
      <c r="O53" s="12"/>
      <c r="P53" s="12"/>
      <c r="Q53" s="12"/>
      <c r="R53" s="23"/>
      <c r="S53" s="23"/>
      <c r="T53" s="12"/>
      <c r="U53" s="65"/>
      <c r="AH53" s="12"/>
      <c r="AI53" s="4"/>
      <c r="AJ53" s="71"/>
      <c r="AK53" s="71"/>
      <c r="AL53" s="71"/>
      <c r="BC53" s="261">
        <f t="shared" si="11"/>
        <v>54.800000000000068</v>
      </c>
      <c r="BD53" s="259">
        <f t="shared" si="6"/>
        <v>3360</v>
      </c>
      <c r="BE53" s="260">
        <f t="shared" si="7"/>
        <v>54.800000000000068</v>
      </c>
    </row>
    <row r="54" spans="1:57" ht="16.5">
      <c r="A54" s="39"/>
      <c r="B54" s="11"/>
      <c r="C54" s="12"/>
      <c r="D54" s="12"/>
      <c r="E54" s="12"/>
      <c r="F54" s="12"/>
      <c r="G54" s="12"/>
      <c r="H54" s="12"/>
      <c r="I54" s="12"/>
      <c r="J54" s="12"/>
      <c r="K54" s="12"/>
      <c r="L54" s="12"/>
      <c r="M54" s="12"/>
      <c r="N54" s="12"/>
      <c r="O54" s="12"/>
      <c r="P54" s="12"/>
      <c r="Q54" s="12"/>
      <c r="R54" s="23"/>
      <c r="S54" s="23"/>
      <c r="T54" s="12"/>
      <c r="U54" s="65"/>
      <c r="AH54" s="12"/>
      <c r="AI54" s="4"/>
      <c r="AJ54" s="71"/>
      <c r="AK54" s="71"/>
      <c r="AL54" s="71"/>
      <c r="BC54" s="261">
        <f t="shared" si="11"/>
        <v>54.90000000000007</v>
      </c>
      <c r="BD54" s="259">
        <f t="shared" si="6"/>
        <v>3430</v>
      </c>
      <c r="BE54" s="260">
        <f t="shared" si="7"/>
        <v>54.90000000000007</v>
      </c>
    </row>
    <row r="55" spans="1:57" ht="17.25" thickBot="1">
      <c r="A55" s="39"/>
      <c r="B55" s="11"/>
      <c r="C55" s="12"/>
      <c r="D55" s="12"/>
      <c r="E55" s="12"/>
      <c r="F55" s="12"/>
      <c r="G55" s="12"/>
      <c r="H55" s="12"/>
      <c r="I55" s="12"/>
      <c r="J55" s="12"/>
      <c r="K55" s="12"/>
      <c r="L55" s="12"/>
      <c r="M55" s="12"/>
      <c r="N55" s="12"/>
      <c r="O55" s="12"/>
      <c r="P55" s="12"/>
      <c r="Q55" s="12"/>
      <c r="R55" s="23"/>
      <c r="S55" s="23"/>
      <c r="T55" s="12"/>
      <c r="U55" s="65"/>
      <c r="AI55" s="4"/>
      <c r="AJ55" s="71"/>
      <c r="AK55" s="71"/>
      <c r="AL55" s="71"/>
      <c r="BC55" s="261">
        <f t="shared" si="11"/>
        <v>55.000000000000071</v>
      </c>
      <c r="BD55" s="259">
        <f t="shared" si="6"/>
        <v>3500</v>
      </c>
      <c r="BE55" s="260">
        <f t="shared" si="7"/>
        <v>55.000000000000071</v>
      </c>
    </row>
    <row r="56" spans="1:57" ht="16.5">
      <c r="A56" s="39"/>
      <c r="B56" s="11"/>
      <c r="C56" s="12" t="s">
        <v>39</v>
      </c>
      <c r="D56" s="383"/>
      <c r="E56" s="384"/>
      <c r="F56" s="384"/>
      <c r="G56" s="384"/>
      <c r="H56" s="384"/>
      <c r="I56" s="384"/>
      <c r="J56" s="384"/>
      <c r="K56" s="384"/>
      <c r="L56" s="384"/>
      <c r="M56" s="384"/>
      <c r="N56" s="384"/>
      <c r="O56" s="384"/>
      <c r="P56" s="384"/>
      <c r="Q56" s="384"/>
      <c r="R56" s="384"/>
      <c r="S56" s="384"/>
      <c r="T56" s="385"/>
      <c r="U56" s="65"/>
      <c r="AI56" s="4"/>
      <c r="AJ56" s="71"/>
      <c r="AK56" s="71"/>
      <c r="AL56" s="71"/>
      <c r="BC56" s="261">
        <f t="shared" si="11"/>
        <v>55.100000000000072</v>
      </c>
      <c r="BD56" s="259">
        <f t="shared" si="6"/>
        <v>3570</v>
      </c>
      <c r="BE56" s="260">
        <f t="shared" si="7"/>
        <v>55.100000000000072</v>
      </c>
    </row>
    <row r="57" spans="1:57" ht="17.25" thickBot="1">
      <c r="A57" s="39"/>
      <c r="B57" s="11"/>
      <c r="C57" s="12"/>
      <c r="D57" s="386"/>
      <c r="E57" s="387"/>
      <c r="F57" s="387"/>
      <c r="G57" s="387"/>
      <c r="H57" s="387"/>
      <c r="I57" s="387"/>
      <c r="J57" s="387"/>
      <c r="K57" s="387"/>
      <c r="L57" s="387"/>
      <c r="M57" s="387"/>
      <c r="N57" s="387"/>
      <c r="O57" s="387"/>
      <c r="P57" s="387"/>
      <c r="Q57" s="387"/>
      <c r="R57" s="387"/>
      <c r="S57" s="387"/>
      <c r="T57" s="388"/>
      <c r="U57" s="65"/>
      <c r="AI57" s="4"/>
      <c r="AJ57" s="71"/>
      <c r="AK57" s="71"/>
      <c r="AL57" s="71"/>
      <c r="BC57" s="261">
        <f t="shared" si="11"/>
        <v>55.200000000000074</v>
      </c>
      <c r="BD57" s="259">
        <f t="shared" si="6"/>
        <v>3640</v>
      </c>
      <c r="BE57" s="260">
        <f t="shared" si="7"/>
        <v>55.200000000000074</v>
      </c>
    </row>
    <row r="58" spans="1:57" ht="17.25" thickBot="1">
      <c r="A58" s="39"/>
      <c r="B58" s="72"/>
      <c r="C58" s="73"/>
      <c r="D58" s="73"/>
      <c r="E58" s="73"/>
      <c r="F58" s="73"/>
      <c r="G58" s="73"/>
      <c r="H58" s="73"/>
      <c r="I58" s="73"/>
      <c r="J58" s="73"/>
      <c r="K58" s="73"/>
      <c r="L58" s="73"/>
      <c r="M58" s="73"/>
      <c r="N58" s="73"/>
      <c r="O58" s="73"/>
      <c r="P58" s="73"/>
      <c r="Q58" s="74"/>
      <c r="R58" s="74"/>
      <c r="S58" s="74"/>
      <c r="T58" s="74"/>
      <c r="U58" s="75"/>
      <c r="AI58" s="4"/>
      <c r="AJ58" s="71"/>
      <c r="AK58" s="71"/>
      <c r="AL58" s="71"/>
      <c r="BC58" s="261">
        <f t="shared" si="11"/>
        <v>55.300000000000075</v>
      </c>
      <c r="BD58" s="259">
        <f t="shared" si="6"/>
        <v>3710</v>
      </c>
      <c r="BE58" s="260">
        <f t="shared" si="7"/>
        <v>55.300000000000075</v>
      </c>
    </row>
    <row r="59" spans="1:57" ht="16.5">
      <c r="A59" s="12"/>
      <c r="B59" s="8"/>
      <c r="Q59" s="76"/>
      <c r="R59" s="76"/>
      <c r="S59" s="76"/>
      <c r="T59" s="76"/>
      <c r="AI59" s="4"/>
      <c r="AJ59" s="71"/>
      <c r="AK59" s="71"/>
      <c r="AL59" s="71"/>
      <c r="BC59" s="261">
        <f t="shared" si="11"/>
        <v>55.400000000000077</v>
      </c>
      <c r="BD59" s="259">
        <f t="shared" si="6"/>
        <v>3780</v>
      </c>
      <c r="BE59" s="260">
        <f t="shared" si="7"/>
        <v>55.400000000000077</v>
      </c>
    </row>
    <row r="60" spans="1:57" ht="16.5">
      <c r="A60" s="12"/>
      <c r="B60" s="12"/>
      <c r="Q60" s="12"/>
      <c r="R60" s="23"/>
      <c r="S60" s="23"/>
      <c r="T60" s="12"/>
      <c r="AI60" s="4"/>
      <c r="AJ60" s="71"/>
      <c r="AK60" s="71"/>
      <c r="AL60" s="71"/>
      <c r="BC60" s="261">
        <f t="shared" si="11"/>
        <v>55.500000000000078</v>
      </c>
      <c r="BD60" s="259">
        <f t="shared" si="6"/>
        <v>3850</v>
      </c>
      <c r="BE60" s="260">
        <f t="shared" si="7"/>
        <v>55.500000000000078</v>
      </c>
    </row>
    <row r="61" spans="1:57" ht="16.5">
      <c r="A61" s="12"/>
      <c r="AI61" s="4"/>
      <c r="AJ61" s="71"/>
      <c r="AK61" s="71"/>
      <c r="AL61" s="71"/>
      <c r="BC61" s="261">
        <f t="shared" si="11"/>
        <v>55.60000000000008</v>
      </c>
      <c r="BD61" s="259">
        <f t="shared" si="6"/>
        <v>3920</v>
      </c>
      <c r="BE61" s="260">
        <f t="shared" si="7"/>
        <v>55.60000000000008</v>
      </c>
    </row>
    <row r="62" spans="1:57" ht="16.5">
      <c r="A62" s="12"/>
      <c r="AI62" s="4"/>
      <c r="AJ62" s="71"/>
      <c r="AK62" s="71"/>
      <c r="AL62" s="71"/>
      <c r="BC62" s="261">
        <f t="shared" si="11"/>
        <v>55.700000000000081</v>
      </c>
      <c r="BD62" s="259">
        <f t="shared" si="6"/>
        <v>3990</v>
      </c>
      <c r="BE62" s="260">
        <f t="shared" si="7"/>
        <v>55.700000000000081</v>
      </c>
    </row>
    <row r="63" spans="1:57" ht="16.5">
      <c r="A63" s="12"/>
      <c r="AI63" s="4"/>
      <c r="AJ63" s="71"/>
      <c r="AK63" s="71"/>
      <c r="AL63" s="71"/>
      <c r="BC63" s="261">
        <f t="shared" si="11"/>
        <v>55.800000000000082</v>
      </c>
      <c r="BD63" s="259">
        <f t="shared" si="6"/>
        <v>4060</v>
      </c>
      <c r="BE63" s="260">
        <f t="shared" si="7"/>
        <v>55.800000000000082</v>
      </c>
    </row>
    <row r="64" spans="1:57" ht="16.5">
      <c r="A64" s="12"/>
      <c r="AI64" s="4"/>
      <c r="AJ64" s="71"/>
      <c r="AK64" s="71"/>
      <c r="AL64" s="71"/>
      <c r="BC64" s="261">
        <f t="shared" si="11"/>
        <v>55.900000000000084</v>
      </c>
      <c r="BD64" s="259">
        <f t="shared" si="6"/>
        <v>4130</v>
      </c>
      <c r="BE64" s="260">
        <f t="shared" si="7"/>
        <v>55.900000000000084</v>
      </c>
    </row>
    <row r="65" spans="1:57" ht="16.5">
      <c r="A65" s="12"/>
      <c r="AI65" s="4"/>
      <c r="AJ65" s="71"/>
      <c r="AK65" s="71"/>
      <c r="AL65" s="71"/>
      <c r="BC65" s="261">
        <f t="shared" si="11"/>
        <v>56.000000000000085</v>
      </c>
      <c r="BD65" s="259">
        <f t="shared" si="6"/>
        <v>4200</v>
      </c>
      <c r="BE65" s="260">
        <f t="shared" si="7"/>
        <v>56.000000000000085</v>
      </c>
    </row>
    <row r="66" spans="1:57" ht="16.5">
      <c r="A66" s="12"/>
      <c r="AI66" s="4"/>
      <c r="AJ66" s="71"/>
      <c r="AK66" s="71"/>
      <c r="AL66" s="71"/>
      <c r="BC66" s="261">
        <f t="shared" si="11"/>
        <v>56.100000000000087</v>
      </c>
      <c r="BD66" s="259">
        <f t="shared" si="6"/>
        <v>4270</v>
      </c>
      <c r="BE66" s="260">
        <f t="shared" si="7"/>
        <v>56.100000000000087</v>
      </c>
    </row>
    <row r="67" spans="1:57" ht="16.5">
      <c r="A67" s="12"/>
      <c r="AI67" s="4"/>
      <c r="AJ67" s="71"/>
      <c r="AK67" s="71"/>
      <c r="AL67" s="71"/>
      <c r="BC67" s="261">
        <f t="shared" si="11"/>
        <v>56.200000000000088</v>
      </c>
      <c r="BD67" s="259">
        <f t="shared" si="6"/>
        <v>4340</v>
      </c>
      <c r="BE67" s="260">
        <f t="shared" si="7"/>
        <v>56.200000000000088</v>
      </c>
    </row>
    <row r="68" spans="1:57" ht="16.5">
      <c r="A68" s="12"/>
      <c r="AI68" s="4"/>
      <c r="AJ68" s="71"/>
      <c r="AK68" s="71"/>
      <c r="AL68" s="71"/>
      <c r="BC68" s="261">
        <f t="shared" si="11"/>
        <v>56.30000000000009</v>
      </c>
      <c r="BD68" s="259">
        <f t="shared" si="6"/>
        <v>4410</v>
      </c>
      <c r="BE68" s="260">
        <f t="shared" si="7"/>
        <v>56.30000000000009</v>
      </c>
    </row>
    <row r="69" spans="1:57" ht="16.5">
      <c r="A69" s="12"/>
      <c r="AI69" s="4"/>
      <c r="AJ69" s="71"/>
      <c r="AK69" s="71"/>
      <c r="AL69" s="71"/>
      <c r="BC69" s="261">
        <f t="shared" si="11"/>
        <v>56.400000000000091</v>
      </c>
      <c r="BD69" s="259">
        <f t="shared" si="6"/>
        <v>4480</v>
      </c>
      <c r="BE69" s="260">
        <f t="shared" si="7"/>
        <v>56.400000000000091</v>
      </c>
    </row>
    <row r="70" spans="1:57" ht="16.5">
      <c r="A70" s="12"/>
      <c r="AI70" s="4"/>
      <c r="AJ70" s="71"/>
      <c r="AK70" s="71"/>
      <c r="AL70" s="71"/>
      <c r="BC70" s="261">
        <f t="shared" si="11"/>
        <v>56.500000000000092</v>
      </c>
      <c r="BD70" s="259">
        <f t="shared" ref="BD70:BD133" si="19">BD69+($BD$4/($BB$4*10))</f>
        <v>4550</v>
      </c>
      <c r="BE70" s="260">
        <f t="shared" ref="BE70:BE133" si="20">BC70</f>
        <v>56.500000000000092</v>
      </c>
    </row>
    <row r="71" spans="1:57" ht="16.5">
      <c r="A71" s="12"/>
      <c r="AI71" s="4"/>
      <c r="AJ71" s="71"/>
      <c r="AK71" s="71"/>
      <c r="AL71" s="71"/>
      <c r="BC71" s="261">
        <f t="shared" ref="BC71:BC134" si="21">BC70+0.1</f>
        <v>56.600000000000094</v>
      </c>
      <c r="BD71" s="259">
        <f t="shared" si="19"/>
        <v>4620</v>
      </c>
      <c r="BE71" s="260">
        <f t="shared" si="20"/>
        <v>56.600000000000094</v>
      </c>
    </row>
    <row r="72" spans="1:57" ht="16.5">
      <c r="A72" s="12"/>
      <c r="AI72" s="4"/>
      <c r="AJ72" s="71"/>
      <c r="AK72" s="71"/>
      <c r="AL72" s="71"/>
      <c r="BC72" s="261">
        <f t="shared" si="21"/>
        <v>56.700000000000095</v>
      </c>
      <c r="BD72" s="259">
        <f t="shared" si="19"/>
        <v>4690</v>
      </c>
      <c r="BE72" s="260">
        <f t="shared" si="20"/>
        <v>56.700000000000095</v>
      </c>
    </row>
    <row r="73" spans="1:57" ht="16.5">
      <c r="A73" s="12"/>
      <c r="AI73" s="4"/>
      <c r="AJ73" s="71"/>
      <c r="AK73" s="71"/>
      <c r="AL73" s="71"/>
      <c r="BC73" s="261">
        <f t="shared" si="21"/>
        <v>56.800000000000097</v>
      </c>
      <c r="BD73" s="259">
        <f t="shared" si="19"/>
        <v>4760</v>
      </c>
      <c r="BE73" s="260">
        <f t="shared" si="20"/>
        <v>56.800000000000097</v>
      </c>
    </row>
    <row r="74" spans="1:57" ht="16.5">
      <c r="A74" s="12"/>
      <c r="AI74" s="4"/>
      <c r="AJ74" s="71"/>
      <c r="AK74" s="71"/>
      <c r="AL74" s="71"/>
      <c r="BC74" s="261">
        <f t="shared" si="21"/>
        <v>56.900000000000098</v>
      </c>
      <c r="BD74" s="259">
        <f t="shared" si="19"/>
        <v>4830</v>
      </c>
      <c r="BE74" s="260">
        <f t="shared" si="20"/>
        <v>56.900000000000098</v>
      </c>
    </row>
    <row r="75" spans="1:57" ht="16.5">
      <c r="A75" s="12"/>
      <c r="AI75" s="4"/>
      <c r="AJ75" s="71"/>
      <c r="AK75" s="71"/>
      <c r="AL75" s="71"/>
      <c r="BC75" s="261">
        <f t="shared" si="21"/>
        <v>57.000000000000099</v>
      </c>
      <c r="BD75" s="259">
        <f t="shared" si="19"/>
        <v>4900</v>
      </c>
      <c r="BE75" s="260">
        <f t="shared" si="20"/>
        <v>57.000000000000099</v>
      </c>
    </row>
    <row r="76" spans="1:57" ht="16.5">
      <c r="A76" s="12"/>
      <c r="AI76" s="4"/>
      <c r="AJ76" s="71"/>
      <c r="AK76" s="71"/>
      <c r="AL76" s="71"/>
      <c r="BC76" s="261">
        <f t="shared" si="21"/>
        <v>57.100000000000101</v>
      </c>
      <c r="BD76" s="259">
        <f t="shared" si="19"/>
        <v>4970</v>
      </c>
      <c r="BE76" s="260">
        <f t="shared" si="20"/>
        <v>57.100000000000101</v>
      </c>
    </row>
    <row r="77" spans="1:57" ht="16.5">
      <c r="A77" s="12"/>
      <c r="AI77" s="4"/>
      <c r="AJ77" s="71"/>
      <c r="AK77" s="71"/>
      <c r="AL77" s="71"/>
      <c r="BC77" s="261">
        <f t="shared" si="21"/>
        <v>57.200000000000102</v>
      </c>
      <c r="BD77" s="259">
        <f t="shared" si="19"/>
        <v>5040</v>
      </c>
      <c r="BE77" s="260">
        <f t="shared" si="20"/>
        <v>57.200000000000102</v>
      </c>
    </row>
    <row r="78" spans="1:57" ht="16.5">
      <c r="A78" s="12"/>
      <c r="AI78" s="4"/>
      <c r="AJ78" s="71"/>
      <c r="AK78" s="71"/>
      <c r="AL78" s="71"/>
      <c r="BC78" s="261">
        <f t="shared" si="21"/>
        <v>57.300000000000104</v>
      </c>
      <c r="BD78" s="259">
        <f t="shared" si="19"/>
        <v>5110</v>
      </c>
      <c r="BE78" s="260">
        <f t="shared" si="20"/>
        <v>57.300000000000104</v>
      </c>
    </row>
    <row r="79" spans="1:57" ht="16.5">
      <c r="A79" s="12"/>
      <c r="AI79" s="4"/>
      <c r="AJ79" s="71"/>
      <c r="AK79" s="71"/>
      <c r="AL79" s="71"/>
      <c r="BC79" s="261">
        <f t="shared" si="21"/>
        <v>57.400000000000105</v>
      </c>
      <c r="BD79" s="259">
        <f t="shared" si="19"/>
        <v>5180</v>
      </c>
      <c r="BE79" s="260">
        <f t="shared" si="20"/>
        <v>57.400000000000105</v>
      </c>
    </row>
    <row r="80" spans="1:57" ht="16.5">
      <c r="A80" s="12"/>
      <c r="AI80" s="4"/>
      <c r="AJ80" s="71"/>
      <c r="AK80" s="71"/>
      <c r="AL80" s="71"/>
      <c r="BC80" s="261">
        <f t="shared" si="21"/>
        <v>57.500000000000107</v>
      </c>
      <c r="BD80" s="259">
        <f t="shared" si="19"/>
        <v>5250</v>
      </c>
      <c r="BE80" s="260">
        <f t="shared" si="20"/>
        <v>57.500000000000107</v>
      </c>
    </row>
    <row r="81" spans="1:57" ht="16.5">
      <c r="A81" s="12"/>
      <c r="AI81" s="4"/>
      <c r="AJ81" s="71"/>
      <c r="AK81" s="71"/>
      <c r="AL81" s="71"/>
      <c r="BC81" s="261">
        <f t="shared" si="21"/>
        <v>57.600000000000108</v>
      </c>
      <c r="BD81" s="259">
        <f t="shared" si="19"/>
        <v>5320</v>
      </c>
      <c r="BE81" s="260">
        <f t="shared" si="20"/>
        <v>57.600000000000108</v>
      </c>
    </row>
    <row r="82" spans="1:57" ht="16.5">
      <c r="A82" s="12"/>
      <c r="AI82" s="4"/>
      <c r="AJ82" s="71"/>
      <c r="AK82" s="71"/>
      <c r="AL82" s="71"/>
      <c r="BC82" s="261">
        <f t="shared" si="21"/>
        <v>57.700000000000109</v>
      </c>
      <c r="BD82" s="259">
        <f t="shared" si="19"/>
        <v>5390</v>
      </c>
      <c r="BE82" s="260">
        <f t="shared" si="20"/>
        <v>57.700000000000109</v>
      </c>
    </row>
    <row r="83" spans="1:57" ht="16.5">
      <c r="A83" s="12"/>
      <c r="AI83" s="4"/>
      <c r="AJ83" s="71"/>
      <c r="AK83" s="71"/>
      <c r="AL83" s="71"/>
      <c r="BC83" s="261">
        <f t="shared" si="21"/>
        <v>57.800000000000111</v>
      </c>
      <c r="BD83" s="259">
        <f t="shared" si="19"/>
        <v>5460</v>
      </c>
      <c r="BE83" s="260">
        <f t="shared" si="20"/>
        <v>57.800000000000111</v>
      </c>
    </row>
    <row r="84" spans="1:57" ht="16.5">
      <c r="A84" s="12"/>
      <c r="AI84" s="4"/>
      <c r="AJ84" s="71"/>
      <c r="AK84" s="71"/>
      <c r="AL84" s="71"/>
      <c r="BC84" s="261">
        <f t="shared" si="21"/>
        <v>57.900000000000112</v>
      </c>
      <c r="BD84" s="259">
        <f t="shared" si="19"/>
        <v>5530</v>
      </c>
      <c r="BE84" s="260">
        <f t="shared" si="20"/>
        <v>57.900000000000112</v>
      </c>
    </row>
    <row r="85" spans="1:57" ht="16.5">
      <c r="A85" s="12"/>
      <c r="AI85" s="4"/>
      <c r="AJ85" s="71"/>
      <c r="AK85" s="71"/>
      <c r="AL85" s="71"/>
      <c r="BC85" s="261">
        <f t="shared" si="21"/>
        <v>58.000000000000114</v>
      </c>
      <c r="BD85" s="259">
        <f t="shared" si="19"/>
        <v>5600</v>
      </c>
      <c r="BE85" s="260">
        <f t="shared" si="20"/>
        <v>58.000000000000114</v>
      </c>
    </row>
    <row r="86" spans="1:57" ht="16.5">
      <c r="A86" s="12"/>
      <c r="AI86" s="4"/>
      <c r="AJ86" s="71"/>
      <c r="AK86" s="71"/>
      <c r="AL86" s="71"/>
      <c r="BC86" s="261">
        <f t="shared" si="21"/>
        <v>58.100000000000115</v>
      </c>
      <c r="BD86" s="259">
        <f t="shared" si="19"/>
        <v>5670</v>
      </c>
      <c r="BE86" s="260">
        <f t="shared" si="20"/>
        <v>58.100000000000115</v>
      </c>
    </row>
    <row r="87" spans="1:57" ht="16.5">
      <c r="A87" s="12"/>
      <c r="AI87" s="4"/>
      <c r="AJ87" s="71"/>
      <c r="AK87" s="71"/>
      <c r="AL87" s="71"/>
      <c r="BC87" s="261">
        <f t="shared" si="21"/>
        <v>58.200000000000117</v>
      </c>
      <c r="BD87" s="259">
        <f t="shared" si="19"/>
        <v>5740</v>
      </c>
      <c r="BE87" s="260">
        <f t="shared" si="20"/>
        <v>58.200000000000117</v>
      </c>
    </row>
    <row r="88" spans="1:57" ht="16.5">
      <c r="A88" s="12"/>
      <c r="AI88" s="4"/>
      <c r="AJ88" s="71"/>
      <c r="AK88" s="71"/>
      <c r="AL88" s="71"/>
      <c r="BC88" s="261">
        <f t="shared" si="21"/>
        <v>58.300000000000118</v>
      </c>
      <c r="BD88" s="259">
        <f t="shared" si="19"/>
        <v>5810</v>
      </c>
      <c r="BE88" s="260">
        <f t="shared" si="20"/>
        <v>58.300000000000118</v>
      </c>
    </row>
    <row r="89" spans="1:57" ht="16.5">
      <c r="A89" s="12"/>
      <c r="AI89" s="4"/>
      <c r="AJ89" s="71"/>
      <c r="AK89" s="71"/>
      <c r="AL89" s="71"/>
      <c r="BC89" s="261">
        <f t="shared" si="21"/>
        <v>58.400000000000119</v>
      </c>
      <c r="BD89" s="259">
        <f t="shared" si="19"/>
        <v>5880</v>
      </c>
      <c r="BE89" s="260">
        <f t="shared" si="20"/>
        <v>58.400000000000119</v>
      </c>
    </row>
    <row r="90" spans="1:57" ht="16.5">
      <c r="A90" s="12"/>
      <c r="AI90" s="4"/>
      <c r="AJ90" s="71"/>
      <c r="AK90" s="71"/>
      <c r="AL90" s="71"/>
      <c r="BC90" s="261">
        <f t="shared" si="21"/>
        <v>58.500000000000121</v>
      </c>
      <c r="BD90" s="259">
        <f t="shared" si="19"/>
        <v>5950</v>
      </c>
      <c r="BE90" s="260">
        <f t="shared" si="20"/>
        <v>58.500000000000121</v>
      </c>
    </row>
    <row r="91" spans="1:57" ht="16.5">
      <c r="A91" s="12"/>
      <c r="AI91" s="4"/>
      <c r="AJ91" s="71"/>
      <c r="AK91" s="71"/>
      <c r="AL91" s="71"/>
      <c r="BC91" s="261">
        <f t="shared" si="21"/>
        <v>58.600000000000122</v>
      </c>
      <c r="BD91" s="259">
        <f t="shared" si="19"/>
        <v>6020</v>
      </c>
      <c r="BE91" s="260">
        <f t="shared" si="20"/>
        <v>58.600000000000122</v>
      </c>
    </row>
    <row r="92" spans="1:57" ht="16.5">
      <c r="A92" s="12"/>
      <c r="AI92" s="4"/>
      <c r="AJ92" s="71"/>
      <c r="AK92" s="71"/>
      <c r="AL92" s="71"/>
      <c r="BC92" s="261">
        <f t="shared" si="21"/>
        <v>58.700000000000124</v>
      </c>
      <c r="BD92" s="259">
        <f t="shared" si="19"/>
        <v>6090</v>
      </c>
      <c r="BE92" s="260">
        <f t="shared" si="20"/>
        <v>58.700000000000124</v>
      </c>
    </row>
    <row r="93" spans="1:57" ht="16.5">
      <c r="A93" s="12"/>
      <c r="AI93" s="4"/>
      <c r="AJ93" s="71"/>
      <c r="AK93" s="71"/>
      <c r="AL93" s="71"/>
      <c r="BC93" s="261">
        <f t="shared" si="21"/>
        <v>58.800000000000125</v>
      </c>
      <c r="BD93" s="259">
        <f t="shared" si="19"/>
        <v>6160</v>
      </c>
      <c r="BE93" s="260">
        <f t="shared" si="20"/>
        <v>58.800000000000125</v>
      </c>
    </row>
    <row r="94" spans="1:57" ht="16.5">
      <c r="A94" s="12"/>
      <c r="AI94" s="4"/>
      <c r="AJ94" s="71"/>
      <c r="AK94" s="71"/>
      <c r="AL94" s="71"/>
      <c r="BC94" s="261">
        <f t="shared" si="21"/>
        <v>58.900000000000126</v>
      </c>
      <c r="BD94" s="259">
        <f t="shared" si="19"/>
        <v>6230</v>
      </c>
      <c r="BE94" s="260">
        <f t="shared" si="20"/>
        <v>58.900000000000126</v>
      </c>
    </row>
    <row r="95" spans="1:57" ht="16.5">
      <c r="A95" s="12"/>
      <c r="AI95" s="4"/>
      <c r="AJ95" s="71"/>
      <c r="AK95" s="71"/>
      <c r="AL95" s="71"/>
      <c r="BC95" s="261">
        <f t="shared" si="21"/>
        <v>59.000000000000128</v>
      </c>
      <c r="BD95" s="259">
        <f t="shared" si="19"/>
        <v>6300</v>
      </c>
      <c r="BE95" s="260">
        <f t="shared" si="20"/>
        <v>59.000000000000128</v>
      </c>
    </row>
    <row r="96" spans="1:57" ht="16.5">
      <c r="A96" s="12"/>
      <c r="AI96" s="4"/>
      <c r="AJ96" s="71"/>
      <c r="AK96" s="71"/>
      <c r="AL96" s="71"/>
      <c r="BC96" s="261">
        <f t="shared" si="21"/>
        <v>59.100000000000129</v>
      </c>
      <c r="BD96" s="259">
        <f t="shared" si="19"/>
        <v>6370</v>
      </c>
      <c r="BE96" s="260">
        <f t="shared" si="20"/>
        <v>59.100000000000129</v>
      </c>
    </row>
    <row r="97" spans="1:57" ht="16.5">
      <c r="A97" s="12"/>
      <c r="AI97" s="4"/>
      <c r="AJ97" s="71"/>
      <c r="AK97" s="71"/>
      <c r="AL97" s="71"/>
      <c r="BC97" s="261">
        <f t="shared" si="21"/>
        <v>59.200000000000131</v>
      </c>
      <c r="BD97" s="259">
        <f t="shared" si="19"/>
        <v>6440</v>
      </c>
      <c r="BE97" s="260">
        <f t="shared" si="20"/>
        <v>59.200000000000131</v>
      </c>
    </row>
    <row r="98" spans="1:57" ht="16.5">
      <c r="A98" s="12"/>
      <c r="AI98" s="4"/>
      <c r="AJ98" s="71"/>
      <c r="AK98" s="71"/>
      <c r="AL98" s="71"/>
      <c r="BC98" s="261">
        <f t="shared" si="21"/>
        <v>59.300000000000132</v>
      </c>
      <c r="BD98" s="259">
        <f t="shared" si="19"/>
        <v>6510</v>
      </c>
      <c r="BE98" s="260">
        <f t="shared" si="20"/>
        <v>59.300000000000132</v>
      </c>
    </row>
    <row r="99" spans="1:57" ht="16.5">
      <c r="A99" s="12"/>
      <c r="AI99" s="4"/>
      <c r="AJ99" s="71"/>
      <c r="AK99" s="71"/>
      <c r="AL99" s="71"/>
      <c r="BC99" s="261">
        <f t="shared" si="21"/>
        <v>59.400000000000134</v>
      </c>
      <c r="BD99" s="259">
        <f t="shared" si="19"/>
        <v>6580</v>
      </c>
      <c r="BE99" s="260">
        <f t="shared" si="20"/>
        <v>59.400000000000134</v>
      </c>
    </row>
    <row r="100" spans="1:57" ht="16.5">
      <c r="A100" s="12"/>
      <c r="AI100" s="4"/>
      <c r="AJ100" s="71"/>
      <c r="AK100" s="71"/>
      <c r="AL100" s="71"/>
      <c r="BC100" s="261">
        <f t="shared" si="21"/>
        <v>59.500000000000135</v>
      </c>
      <c r="BD100" s="259">
        <f t="shared" si="19"/>
        <v>6650</v>
      </c>
      <c r="BE100" s="260">
        <f t="shared" si="20"/>
        <v>59.500000000000135</v>
      </c>
    </row>
    <row r="101" spans="1:57" ht="16.5">
      <c r="A101" s="12"/>
      <c r="AI101" s="4"/>
      <c r="AJ101" s="71"/>
      <c r="AK101" s="71"/>
      <c r="AL101" s="71"/>
      <c r="BC101" s="261">
        <f t="shared" si="21"/>
        <v>59.600000000000136</v>
      </c>
      <c r="BD101" s="259">
        <f t="shared" si="19"/>
        <v>6720</v>
      </c>
      <c r="BE101" s="260">
        <f t="shared" si="20"/>
        <v>59.600000000000136</v>
      </c>
    </row>
    <row r="102" spans="1:57" ht="16.5">
      <c r="A102" s="12"/>
      <c r="AI102" s="4"/>
      <c r="AJ102" s="71"/>
      <c r="AK102" s="71"/>
      <c r="AL102" s="71"/>
      <c r="BC102" s="261">
        <f t="shared" si="21"/>
        <v>59.700000000000138</v>
      </c>
      <c r="BD102" s="259">
        <f t="shared" si="19"/>
        <v>6790</v>
      </c>
      <c r="BE102" s="260">
        <f t="shared" si="20"/>
        <v>59.700000000000138</v>
      </c>
    </row>
    <row r="103" spans="1:57" ht="16.5">
      <c r="A103" s="12"/>
      <c r="AI103" s="4"/>
      <c r="AJ103" s="71"/>
      <c r="AK103" s="71"/>
      <c r="AL103" s="71"/>
      <c r="BC103" s="261">
        <f t="shared" si="21"/>
        <v>59.800000000000139</v>
      </c>
      <c r="BD103" s="259">
        <f t="shared" si="19"/>
        <v>6860</v>
      </c>
      <c r="BE103" s="260">
        <f t="shared" si="20"/>
        <v>59.800000000000139</v>
      </c>
    </row>
    <row r="104" spans="1:57" ht="16.5">
      <c r="A104" s="12"/>
      <c r="AI104" s="4"/>
      <c r="AJ104" s="71"/>
      <c r="AK104" s="71"/>
      <c r="AL104" s="71"/>
      <c r="BC104" s="261">
        <f t="shared" si="21"/>
        <v>59.900000000000141</v>
      </c>
      <c r="BD104" s="259">
        <f t="shared" si="19"/>
        <v>6930</v>
      </c>
      <c r="BE104" s="260">
        <f t="shared" si="20"/>
        <v>59.900000000000141</v>
      </c>
    </row>
    <row r="105" spans="1:57" ht="16.5">
      <c r="A105" s="12"/>
      <c r="AI105" s="4"/>
      <c r="AJ105" s="71"/>
      <c r="AK105" s="71"/>
      <c r="AL105" s="71"/>
      <c r="BC105" s="261">
        <f t="shared" si="21"/>
        <v>60.000000000000142</v>
      </c>
      <c r="BD105" s="259">
        <f t="shared" si="19"/>
        <v>7000</v>
      </c>
      <c r="BE105" s="260">
        <f t="shared" si="20"/>
        <v>60.000000000000142</v>
      </c>
    </row>
    <row r="106" spans="1:57" ht="16.5">
      <c r="A106" s="12"/>
      <c r="AI106" s="4"/>
      <c r="AJ106" s="71"/>
      <c r="AK106" s="71"/>
      <c r="AL106" s="71"/>
      <c r="BC106" s="261">
        <f t="shared" si="21"/>
        <v>60.100000000000144</v>
      </c>
      <c r="BD106" s="259">
        <f t="shared" si="19"/>
        <v>7070</v>
      </c>
      <c r="BE106" s="260">
        <f t="shared" si="20"/>
        <v>60.100000000000144</v>
      </c>
    </row>
    <row r="107" spans="1:57" ht="16.5">
      <c r="A107" s="12"/>
      <c r="AI107" s="4"/>
      <c r="AJ107" s="71"/>
      <c r="AK107" s="71"/>
      <c r="AL107" s="71"/>
      <c r="BC107" s="261">
        <f t="shared" si="21"/>
        <v>60.200000000000145</v>
      </c>
      <c r="BD107" s="259">
        <f t="shared" si="19"/>
        <v>7140</v>
      </c>
      <c r="BE107" s="260">
        <f t="shared" si="20"/>
        <v>60.200000000000145</v>
      </c>
    </row>
    <row r="108" spans="1:57" ht="16.5">
      <c r="A108" s="12"/>
      <c r="AI108" s="4"/>
      <c r="AJ108" s="71"/>
      <c r="AK108" s="71"/>
      <c r="AL108" s="71"/>
      <c r="BC108" s="261">
        <f t="shared" si="21"/>
        <v>60.300000000000146</v>
      </c>
      <c r="BD108" s="259">
        <f t="shared" si="19"/>
        <v>7210</v>
      </c>
      <c r="BE108" s="260">
        <f t="shared" si="20"/>
        <v>60.300000000000146</v>
      </c>
    </row>
    <row r="109" spans="1:57" ht="16.5">
      <c r="A109" s="12"/>
      <c r="AI109" s="4"/>
      <c r="AJ109" s="71"/>
      <c r="AK109" s="71"/>
      <c r="AL109" s="71"/>
      <c r="BC109" s="261">
        <f t="shared" si="21"/>
        <v>60.400000000000148</v>
      </c>
      <c r="BD109" s="259">
        <f t="shared" si="19"/>
        <v>7280</v>
      </c>
      <c r="BE109" s="260">
        <f t="shared" si="20"/>
        <v>60.400000000000148</v>
      </c>
    </row>
    <row r="110" spans="1:57" ht="16.5">
      <c r="A110" s="12"/>
      <c r="AI110" s="4"/>
      <c r="AJ110" s="71"/>
      <c r="AK110" s="71"/>
      <c r="AL110" s="71"/>
      <c r="BC110" s="261">
        <f t="shared" si="21"/>
        <v>60.500000000000149</v>
      </c>
      <c r="BD110" s="259">
        <f t="shared" si="19"/>
        <v>7350</v>
      </c>
      <c r="BE110" s="260">
        <f t="shared" si="20"/>
        <v>60.500000000000149</v>
      </c>
    </row>
    <row r="111" spans="1:57" ht="16.5">
      <c r="A111" s="12"/>
      <c r="AI111" s="4"/>
      <c r="AJ111" s="71"/>
      <c r="AK111" s="71"/>
      <c r="AL111" s="71"/>
      <c r="BC111" s="261">
        <f t="shared" si="21"/>
        <v>60.600000000000151</v>
      </c>
      <c r="BD111" s="259">
        <f t="shared" si="19"/>
        <v>7420</v>
      </c>
      <c r="BE111" s="260">
        <f t="shared" si="20"/>
        <v>60.600000000000151</v>
      </c>
    </row>
    <row r="112" spans="1:57" ht="16.5">
      <c r="A112" s="12"/>
      <c r="AI112" s="4"/>
      <c r="AJ112" s="71"/>
      <c r="AK112" s="71"/>
      <c r="AL112" s="71"/>
      <c r="BC112" s="261">
        <f t="shared" si="21"/>
        <v>60.700000000000152</v>
      </c>
      <c r="BD112" s="259">
        <f t="shared" si="19"/>
        <v>7490</v>
      </c>
      <c r="BE112" s="260">
        <f t="shared" si="20"/>
        <v>60.700000000000152</v>
      </c>
    </row>
    <row r="113" spans="1:57" ht="16.5">
      <c r="A113" s="12"/>
      <c r="AI113" s="4"/>
      <c r="AJ113" s="71"/>
      <c r="AK113" s="71"/>
      <c r="AL113" s="71"/>
      <c r="BC113" s="261">
        <f t="shared" si="21"/>
        <v>60.800000000000153</v>
      </c>
      <c r="BD113" s="259">
        <f t="shared" si="19"/>
        <v>7560</v>
      </c>
      <c r="BE113" s="260">
        <f t="shared" si="20"/>
        <v>60.800000000000153</v>
      </c>
    </row>
    <row r="114" spans="1:57" ht="16.5">
      <c r="A114" s="12"/>
      <c r="AI114" s="4"/>
      <c r="AJ114" s="71"/>
      <c r="AK114" s="71"/>
      <c r="AL114" s="71"/>
      <c r="BC114" s="261">
        <f t="shared" si="21"/>
        <v>60.900000000000155</v>
      </c>
      <c r="BD114" s="259">
        <f t="shared" si="19"/>
        <v>7630</v>
      </c>
      <c r="BE114" s="260">
        <f t="shared" si="20"/>
        <v>60.900000000000155</v>
      </c>
    </row>
    <row r="115" spans="1:57" ht="16.5">
      <c r="A115" s="12"/>
      <c r="AI115" s="4"/>
      <c r="AJ115" s="71"/>
      <c r="AK115" s="71"/>
      <c r="AL115" s="71"/>
      <c r="BC115" s="261">
        <f t="shared" si="21"/>
        <v>61.000000000000156</v>
      </c>
      <c r="BD115" s="259">
        <f t="shared" si="19"/>
        <v>7700</v>
      </c>
      <c r="BE115" s="260">
        <f t="shared" si="20"/>
        <v>61.000000000000156</v>
      </c>
    </row>
    <row r="116" spans="1:57" ht="16.5">
      <c r="A116" s="12"/>
      <c r="AI116" s="4"/>
      <c r="AJ116" s="71"/>
      <c r="AK116" s="71"/>
      <c r="AL116" s="71"/>
      <c r="BC116" s="261">
        <f t="shared" si="21"/>
        <v>61.100000000000158</v>
      </c>
      <c r="BD116" s="259">
        <f t="shared" si="19"/>
        <v>7770</v>
      </c>
      <c r="BE116" s="260">
        <f t="shared" si="20"/>
        <v>61.100000000000158</v>
      </c>
    </row>
    <row r="117" spans="1:57" ht="16.5">
      <c r="A117" s="12"/>
      <c r="AI117" s="4"/>
      <c r="AJ117" s="71"/>
      <c r="AK117" s="71"/>
      <c r="AL117" s="71"/>
      <c r="BC117" s="261">
        <f t="shared" si="21"/>
        <v>61.200000000000159</v>
      </c>
      <c r="BD117" s="259">
        <f t="shared" si="19"/>
        <v>7840</v>
      </c>
      <c r="BE117" s="260">
        <f t="shared" si="20"/>
        <v>61.200000000000159</v>
      </c>
    </row>
    <row r="118" spans="1:57" ht="16.5">
      <c r="A118" s="12"/>
      <c r="AI118" s="4"/>
      <c r="AJ118" s="71"/>
      <c r="AK118" s="71"/>
      <c r="AL118" s="71"/>
      <c r="BC118" s="261">
        <f t="shared" si="21"/>
        <v>61.300000000000161</v>
      </c>
      <c r="BD118" s="259">
        <f t="shared" si="19"/>
        <v>7910</v>
      </c>
      <c r="BE118" s="260">
        <f t="shared" si="20"/>
        <v>61.300000000000161</v>
      </c>
    </row>
    <row r="119" spans="1:57" ht="16.5">
      <c r="A119" s="12"/>
      <c r="AI119" s="4"/>
      <c r="AJ119" s="71"/>
      <c r="AK119" s="71"/>
      <c r="AL119" s="71"/>
      <c r="BC119" s="261">
        <f t="shared" si="21"/>
        <v>61.400000000000162</v>
      </c>
      <c r="BD119" s="259">
        <f t="shared" si="19"/>
        <v>7980</v>
      </c>
      <c r="BE119" s="260">
        <f t="shared" si="20"/>
        <v>61.400000000000162</v>
      </c>
    </row>
    <row r="120" spans="1:57" ht="16.5">
      <c r="A120" s="12"/>
      <c r="AI120" s="4"/>
      <c r="AJ120" s="71"/>
      <c r="AK120" s="71"/>
      <c r="AL120" s="71"/>
      <c r="BC120" s="261">
        <f t="shared" si="21"/>
        <v>61.500000000000163</v>
      </c>
      <c r="BD120" s="259">
        <f t="shared" si="19"/>
        <v>8050</v>
      </c>
      <c r="BE120" s="260">
        <f t="shared" si="20"/>
        <v>61.500000000000163</v>
      </c>
    </row>
    <row r="121" spans="1:57" ht="16.5">
      <c r="A121" s="12"/>
      <c r="AI121" s="4"/>
      <c r="AJ121" s="71"/>
      <c r="AK121" s="71"/>
      <c r="AL121" s="71"/>
      <c r="BC121" s="261">
        <f t="shared" si="21"/>
        <v>61.600000000000165</v>
      </c>
      <c r="BD121" s="259">
        <f t="shared" si="19"/>
        <v>8120</v>
      </c>
      <c r="BE121" s="260">
        <f t="shared" si="20"/>
        <v>61.600000000000165</v>
      </c>
    </row>
    <row r="122" spans="1:57" ht="16.5">
      <c r="A122" s="12"/>
      <c r="AI122" s="4"/>
      <c r="AJ122" s="71"/>
      <c r="AK122" s="71"/>
      <c r="AL122" s="71"/>
      <c r="BC122" s="261">
        <f t="shared" si="21"/>
        <v>61.700000000000166</v>
      </c>
      <c r="BD122" s="259">
        <f t="shared" si="19"/>
        <v>8190</v>
      </c>
      <c r="BE122" s="260">
        <f t="shared" si="20"/>
        <v>61.700000000000166</v>
      </c>
    </row>
    <row r="123" spans="1:57" ht="16.5">
      <c r="A123" s="12"/>
      <c r="AI123" s="4"/>
      <c r="AJ123" s="71"/>
      <c r="AK123" s="71"/>
      <c r="AL123" s="71"/>
      <c r="BC123" s="261">
        <f t="shared" si="21"/>
        <v>61.800000000000168</v>
      </c>
      <c r="BD123" s="259">
        <f t="shared" si="19"/>
        <v>8260</v>
      </c>
      <c r="BE123" s="260">
        <f t="shared" si="20"/>
        <v>61.800000000000168</v>
      </c>
    </row>
    <row r="124" spans="1:57" ht="16.5">
      <c r="A124" s="12"/>
      <c r="AI124" s="4"/>
      <c r="AJ124" s="71"/>
      <c r="AK124" s="71"/>
      <c r="AL124" s="71"/>
      <c r="BC124" s="261">
        <f t="shared" si="21"/>
        <v>61.900000000000169</v>
      </c>
      <c r="BD124" s="259">
        <f t="shared" si="19"/>
        <v>8330</v>
      </c>
      <c r="BE124" s="260">
        <f t="shared" si="20"/>
        <v>61.900000000000169</v>
      </c>
    </row>
    <row r="125" spans="1:57" ht="16.5">
      <c r="A125" s="12"/>
      <c r="AI125" s="4"/>
      <c r="AJ125" s="71"/>
      <c r="AK125" s="71"/>
      <c r="AL125" s="71"/>
      <c r="BC125" s="261">
        <f t="shared" si="21"/>
        <v>62.000000000000171</v>
      </c>
      <c r="BD125" s="259">
        <f t="shared" si="19"/>
        <v>8400</v>
      </c>
      <c r="BE125" s="260">
        <f t="shared" si="20"/>
        <v>62.000000000000171</v>
      </c>
    </row>
    <row r="126" spans="1:57" ht="16.5">
      <c r="A126" s="12"/>
      <c r="AI126" s="4"/>
      <c r="AJ126" s="71"/>
      <c r="AK126" s="71"/>
      <c r="AL126" s="71"/>
      <c r="BC126" s="261">
        <f t="shared" si="21"/>
        <v>62.100000000000172</v>
      </c>
      <c r="BD126" s="259">
        <f t="shared" si="19"/>
        <v>8470</v>
      </c>
      <c r="BE126" s="260">
        <f t="shared" si="20"/>
        <v>62.100000000000172</v>
      </c>
    </row>
    <row r="127" spans="1:57" ht="16.5">
      <c r="A127" s="12"/>
      <c r="AI127" s="4"/>
      <c r="AJ127" s="71"/>
      <c r="AK127" s="71"/>
      <c r="AL127" s="71"/>
      <c r="BC127" s="261">
        <f t="shared" si="21"/>
        <v>62.200000000000173</v>
      </c>
      <c r="BD127" s="259">
        <f t="shared" si="19"/>
        <v>8540</v>
      </c>
      <c r="BE127" s="260">
        <f t="shared" si="20"/>
        <v>62.200000000000173</v>
      </c>
    </row>
    <row r="128" spans="1:57" ht="16.5">
      <c r="A128" s="12"/>
      <c r="AI128" s="4"/>
      <c r="AJ128" s="71"/>
      <c r="AK128" s="71"/>
      <c r="AL128" s="71"/>
      <c r="BC128" s="261">
        <f t="shared" si="21"/>
        <v>62.300000000000175</v>
      </c>
      <c r="BD128" s="259">
        <f t="shared" si="19"/>
        <v>8610</v>
      </c>
      <c r="BE128" s="260">
        <f t="shared" si="20"/>
        <v>62.300000000000175</v>
      </c>
    </row>
    <row r="129" spans="1:57" ht="16.5">
      <c r="A129" s="12"/>
      <c r="AI129" s="4"/>
      <c r="AJ129" s="71"/>
      <c r="AK129" s="71"/>
      <c r="AL129" s="71"/>
      <c r="BC129" s="261">
        <f t="shared" si="21"/>
        <v>62.400000000000176</v>
      </c>
      <c r="BD129" s="259">
        <f t="shared" si="19"/>
        <v>8680</v>
      </c>
      <c r="BE129" s="260">
        <f t="shared" si="20"/>
        <v>62.400000000000176</v>
      </c>
    </row>
    <row r="130" spans="1:57" ht="16.5">
      <c r="A130" s="12"/>
      <c r="AI130" s="4"/>
      <c r="AJ130" s="71"/>
      <c r="AK130" s="71"/>
      <c r="AL130" s="71"/>
      <c r="BC130" s="261">
        <f t="shared" si="21"/>
        <v>62.500000000000178</v>
      </c>
      <c r="BD130" s="259">
        <f t="shared" si="19"/>
        <v>8750</v>
      </c>
      <c r="BE130" s="260">
        <f t="shared" si="20"/>
        <v>62.500000000000178</v>
      </c>
    </row>
    <row r="131" spans="1:57" ht="16.5">
      <c r="A131" s="12"/>
      <c r="AI131" s="4"/>
      <c r="AJ131" s="71"/>
      <c r="AK131" s="71"/>
      <c r="AL131" s="71"/>
      <c r="BC131" s="261">
        <f t="shared" si="21"/>
        <v>62.600000000000179</v>
      </c>
      <c r="BD131" s="259">
        <f t="shared" si="19"/>
        <v>8820</v>
      </c>
      <c r="BE131" s="260">
        <f t="shared" si="20"/>
        <v>62.600000000000179</v>
      </c>
    </row>
    <row r="132" spans="1:57" ht="16.5">
      <c r="A132" s="12"/>
      <c r="AI132" s="4"/>
      <c r="AJ132" s="71"/>
      <c r="AK132" s="71"/>
      <c r="AL132" s="71"/>
      <c r="BC132" s="261">
        <f t="shared" si="21"/>
        <v>62.70000000000018</v>
      </c>
      <c r="BD132" s="259">
        <f t="shared" si="19"/>
        <v>8890</v>
      </c>
      <c r="BE132" s="260">
        <f t="shared" si="20"/>
        <v>62.70000000000018</v>
      </c>
    </row>
    <row r="133" spans="1:57" ht="16.5">
      <c r="A133" s="12"/>
      <c r="AI133" s="4"/>
      <c r="AJ133" s="71"/>
      <c r="AK133" s="71"/>
      <c r="AL133" s="71"/>
      <c r="BC133" s="261">
        <f t="shared" si="21"/>
        <v>62.800000000000182</v>
      </c>
      <c r="BD133" s="259">
        <f t="shared" si="19"/>
        <v>8960</v>
      </c>
      <c r="BE133" s="260">
        <f t="shared" si="20"/>
        <v>62.800000000000182</v>
      </c>
    </row>
    <row r="134" spans="1:57" ht="16.5">
      <c r="A134" s="12"/>
      <c r="AI134" s="4"/>
      <c r="AJ134" s="71"/>
      <c r="AK134" s="71"/>
      <c r="AL134" s="71"/>
      <c r="BC134" s="261">
        <f t="shared" si="21"/>
        <v>62.900000000000183</v>
      </c>
      <c r="BD134" s="259">
        <f t="shared" ref="BD134:BD197" si="22">BD133+($BD$4/($BB$4*10))</f>
        <v>9030</v>
      </c>
      <c r="BE134" s="260">
        <f t="shared" ref="BE134:BE197" si="23">BC134</f>
        <v>62.900000000000183</v>
      </c>
    </row>
    <row r="135" spans="1:57" ht="16.5">
      <c r="A135" s="12"/>
      <c r="AI135" s="4"/>
      <c r="AJ135" s="71"/>
      <c r="AK135" s="71"/>
      <c r="AL135" s="71"/>
      <c r="BC135" s="261">
        <f t="shared" ref="BC135:BC198" si="24">BC134+0.1</f>
        <v>63.000000000000185</v>
      </c>
      <c r="BD135" s="259">
        <f t="shared" si="22"/>
        <v>9100</v>
      </c>
      <c r="BE135" s="260">
        <f t="shared" si="23"/>
        <v>63.000000000000185</v>
      </c>
    </row>
    <row r="136" spans="1:57" ht="16.5">
      <c r="A136" s="12"/>
      <c r="AI136" s="4"/>
      <c r="AJ136" s="71"/>
      <c r="AK136" s="71"/>
      <c r="AL136" s="71"/>
      <c r="BC136" s="261">
        <f t="shared" si="24"/>
        <v>63.100000000000186</v>
      </c>
      <c r="BD136" s="259">
        <f t="shared" si="22"/>
        <v>9170</v>
      </c>
      <c r="BE136" s="260">
        <f t="shared" si="23"/>
        <v>63.100000000000186</v>
      </c>
    </row>
    <row r="137" spans="1:57" ht="16.5">
      <c r="A137" s="12"/>
      <c r="AI137" s="78"/>
      <c r="AJ137" s="71"/>
      <c r="AK137" s="71"/>
      <c r="AL137" s="71"/>
      <c r="BC137" s="261">
        <f t="shared" si="24"/>
        <v>63.200000000000188</v>
      </c>
      <c r="BD137" s="259">
        <f t="shared" si="22"/>
        <v>9240</v>
      </c>
      <c r="BE137" s="260">
        <f t="shared" si="23"/>
        <v>63.200000000000188</v>
      </c>
    </row>
    <row r="138" spans="1:57" ht="16.5">
      <c r="A138" s="12"/>
      <c r="AI138" s="79"/>
      <c r="AJ138" s="71"/>
      <c r="AK138" s="71"/>
      <c r="AL138" s="71"/>
      <c r="BC138" s="261">
        <f t="shared" si="24"/>
        <v>63.300000000000189</v>
      </c>
      <c r="BD138" s="259">
        <f t="shared" si="22"/>
        <v>9310</v>
      </c>
      <c r="BE138" s="260">
        <f t="shared" si="23"/>
        <v>63.300000000000189</v>
      </c>
    </row>
    <row r="139" spans="1:57" ht="16.5">
      <c r="A139" s="12"/>
      <c r="AI139" s="80"/>
      <c r="AJ139" s="71"/>
      <c r="AK139" s="71"/>
      <c r="AL139" s="71"/>
      <c r="BC139" s="261">
        <f t="shared" si="24"/>
        <v>63.40000000000019</v>
      </c>
      <c r="BD139" s="259">
        <f t="shared" si="22"/>
        <v>9380</v>
      </c>
      <c r="BE139" s="260">
        <f t="shared" si="23"/>
        <v>63.40000000000019</v>
      </c>
    </row>
    <row r="140" spans="1:57" ht="16.5">
      <c r="A140" s="12"/>
      <c r="AI140" s="80"/>
      <c r="AJ140" s="71"/>
      <c r="AK140" s="71"/>
      <c r="AL140" s="71"/>
      <c r="BC140" s="261">
        <f t="shared" si="24"/>
        <v>63.500000000000192</v>
      </c>
      <c r="BD140" s="259">
        <f t="shared" si="22"/>
        <v>9450</v>
      </c>
      <c r="BE140" s="260">
        <f t="shared" si="23"/>
        <v>63.500000000000192</v>
      </c>
    </row>
    <row r="141" spans="1:57" ht="16.5">
      <c r="A141" s="12"/>
      <c r="AI141" s="80"/>
      <c r="AJ141" s="71"/>
      <c r="AK141" s="71"/>
      <c r="AL141" s="71"/>
      <c r="BC141" s="261">
        <f t="shared" si="24"/>
        <v>63.600000000000193</v>
      </c>
      <c r="BD141" s="259">
        <f t="shared" si="22"/>
        <v>9520</v>
      </c>
      <c r="BE141" s="260">
        <f t="shared" si="23"/>
        <v>63.600000000000193</v>
      </c>
    </row>
    <row r="142" spans="1:57" ht="16.5">
      <c r="A142" s="12"/>
      <c r="AI142" s="80"/>
      <c r="AJ142" s="71"/>
      <c r="AK142" s="71"/>
      <c r="AL142" s="71"/>
      <c r="BC142" s="261">
        <f t="shared" si="24"/>
        <v>63.700000000000195</v>
      </c>
      <c r="BD142" s="259">
        <f t="shared" si="22"/>
        <v>9590</v>
      </c>
      <c r="BE142" s="260">
        <f t="shared" si="23"/>
        <v>63.700000000000195</v>
      </c>
    </row>
    <row r="143" spans="1:57" ht="16.5">
      <c r="A143" s="12"/>
      <c r="AI143" s="80"/>
      <c r="AJ143" s="71"/>
      <c r="AK143" s="71"/>
      <c r="AL143" s="71"/>
      <c r="BC143" s="261">
        <f t="shared" si="24"/>
        <v>63.800000000000196</v>
      </c>
      <c r="BD143" s="259">
        <f t="shared" si="22"/>
        <v>9660</v>
      </c>
      <c r="BE143" s="260">
        <f t="shared" si="23"/>
        <v>63.800000000000196</v>
      </c>
    </row>
    <row r="144" spans="1:57" ht="16.5">
      <c r="A144" s="12"/>
      <c r="AI144" s="80"/>
      <c r="AJ144" s="71"/>
      <c r="AK144" s="71"/>
      <c r="AL144" s="71"/>
      <c r="BC144" s="261">
        <f t="shared" si="24"/>
        <v>63.900000000000198</v>
      </c>
      <c r="BD144" s="259">
        <f t="shared" si="22"/>
        <v>9730</v>
      </c>
      <c r="BE144" s="260">
        <f t="shared" si="23"/>
        <v>63.900000000000198</v>
      </c>
    </row>
    <row r="145" spans="1:57" ht="16.5">
      <c r="A145" s="12"/>
      <c r="AI145" s="80"/>
      <c r="AJ145" s="71"/>
      <c r="AK145" s="71"/>
      <c r="AL145" s="71"/>
      <c r="BC145" s="261">
        <f t="shared" si="24"/>
        <v>64.000000000000199</v>
      </c>
      <c r="BD145" s="259">
        <f t="shared" si="22"/>
        <v>9800</v>
      </c>
      <c r="BE145" s="260">
        <f t="shared" si="23"/>
        <v>64.000000000000199</v>
      </c>
    </row>
    <row r="146" spans="1:57" ht="16.5">
      <c r="A146" s="12"/>
      <c r="AI146" s="80"/>
      <c r="AJ146" s="71"/>
      <c r="AK146" s="71"/>
      <c r="AL146" s="71"/>
      <c r="BC146" s="261">
        <f t="shared" si="24"/>
        <v>64.100000000000193</v>
      </c>
      <c r="BD146" s="259">
        <f t="shared" si="22"/>
        <v>9870</v>
      </c>
      <c r="BE146" s="260">
        <f t="shared" si="23"/>
        <v>64.100000000000193</v>
      </c>
    </row>
    <row r="147" spans="1:57" ht="16.5">
      <c r="A147" s="12"/>
      <c r="AI147" s="80"/>
      <c r="AJ147" s="71"/>
      <c r="AK147" s="71"/>
      <c r="AL147" s="71"/>
      <c r="BC147" s="261">
        <f t="shared" si="24"/>
        <v>64.200000000000188</v>
      </c>
      <c r="BD147" s="259">
        <f t="shared" si="22"/>
        <v>9940</v>
      </c>
      <c r="BE147" s="260">
        <f t="shared" si="23"/>
        <v>64.200000000000188</v>
      </c>
    </row>
    <row r="148" spans="1:57" ht="16.5">
      <c r="A148" s="12"/>
      <c r="AI148" s="80"/>
      <c r="AJ148" s="71"/>
      <c r="AK148" s="71"/>
      <c r="AL148" s="71"/>
      <c r="BC148" s="261">
        <f t="shared" si="24"/>
        <v>64.300000000000182</v>
      </c>
      <c r="BD148" s="259">
        <f t="shared" si="22"/>
        <v>10010</v>
      </c>
      <c r="BE148" s="260">
        <f t="shared" si="23"/>
        <v>64.300000000000182</v>
      </c>
    </row>
    <row r="149" spans="1:57" ht="16.5">
      <c r="A149" s="12"/>
      <c r="AI149" s="80"/>
      <c r="AJ149" s="71"/>
      <c r="AK149" s="71"/>
      <c r="AL149" s="71"/>
      <c r="BC149" s="261">
        <f t="shared" si="24"/>
        <v>64.400000000000176</v>
      </c>
      <c r="BD149" s="259">
        <f t="shared" si="22"/>
        <v>10080</v>
      </c>
      <c r="BE149" s="260">
        <f t="shared" si="23"/>
        <v>64.400000000000176</v>
      </c>
    </row>
    <row r="150" spans="1:57" ht="16.5">
      <c r="A150" s="12"/>
      <c r="AI150" s="80"/>
      <c r="AJ150" s="71"/>
      <c r="AK150" s="71"/>
      <c r="AL150" s="71"/>
      <c r="BC150" s="261">
        <f t="shared" si="24"/>
        <v>64.500000000000171</v>
      </c>
      <c r="BD150" s="259">
        <f t="shared" si="22"/>
        <v>10150</v>
      </c>
      <c r="BE150" s="260">
        <f t="shared" si="23"/>
        <v>64.500000000000171</v>
      </c>
    </row>
    <row r="151" spans="1:57" ht="16.5">
      <c r="A151" s="12"/>
      <c r="AI151" s="80"/>
      <c r="AJ151" s="71"/>
      <c r="AK151" s="71"/>
      <c r="AL151" s="71"/>
      <c r="BC151" s="261">
        <f t="shared" si="24"/>
        <v>64.600000000000165</v>
      </c>
      <c r="BD151" s="259">
        <f t="shared" si="22"/>
        <v>10220</v>
      </c>
      <c r="BE151" s="260">
        <f t="shared" si="23"/>
        <v>64.600000000000165</v>
      </c>
    </row>
    <row r="152" spans="1:57" ht="16.5">
      <c r="A152" s="12"/>
      <c r="AI152" s="80"/>
      <c r="AJ152" s="71"/>
      <c r="AK152" s="71"/>
      <c r="AL152" s="71"/>
      <c r="BC152" s="261">
        <f t="shared" si="24"/>
        <v>64.700000000000159</v>
      </c>
      <c r="BD152" s="259">
        <f t="shared" si="22"/>
        <v>10290</v>
      </c>
      <c r="BE152" s="260">
        <f t="shared" si="23"/>
        <v>64.700000000000159</v>
      </c>
    </row>
    <row r="153" spans="1:57" ht="16.5">
      <c r="A153" s="12"/>
      <c r="AI153" s="80"/>
      <c r="AJ153" s="71"/>
      <c r="AK153" s="71"/>
      <c r="AL153" s="71"/>
      <c r="BC153" s="261">
        <f t="shared" si="24"/>
        <v>64.800000000000153</v>
      </c>
      <c r="BD153" s="259">
        <f t="shared" si="22"/>
        <v>10360</v>
      </c>
      <c r="BE153" s="260">
        <f t="shared" si="23"/>
        <v>64.800000000000153</v>
      </c>
    </row>
    <row r="154" spans="1:57" ht="16.5">
      <c r="A154" s="12"/>
      <c r="AI154" s="80"/>
      <c r="AJ154" s="71"/>
      <c r="AK154" s="71"/>
      <c r="AL154" s="71"/>
      <c r="BC154" s="261">
        <f t="shared" si="24"/>
        <v>64.900000000000148</v>
      </c>
      <c r="BD154" s="259">
        <f t="shared" si="22"/>
        <v>10430</v>
      </c>
      <c r="BE154" s="260">
        <f t="shared" si="23"/>
        <v>64.900000000000148</v>
      </c>
    </row>
    <row r="155" spans="1:57" ht="16.5">
      <c r="A155" s="12"/>
      <c r="AI155" s="80"/>
      <c r="AJ155" s="71"/>
      <c r="AK155" s="71"/>
      <c r="AL155" s="71"/>
      <c r="BC155" s="261">
        <f t="shared" si="24"/>
        <v>65.000000000000142</v>
      </c>
      <c r="BD155" s="259">
        <f t="shared" si="22"/>
        <v>10500</v>
      </c>
      <c r="BE155" s="260">
        <f t="shared" si="23"/>
        <v>65.000000000000142</v>
      </c>
    </row>
    <row r="156" spans="1:57" ht="16.5">
      <c r="A156" s="12"/>
      <c r="AI156" s="79"/>
      <c r="AJ156" s="71"/>
      <c r="AK156" s="71"/>
      <c r="AL156" s="71"/>
      <c r="BC156" s="261">
        <f t="shared" si="24"/>
        <v>65.100000000000136</v>
      </c>
      <c r="BD156" s="259">
        <f t="shared" si="22"/>
        <v>10570</v>
      </c>
      <c r="BE156" s="260">
        <f t="shared" si="23"/>
        <v>65.100000000000136</v>
      </c>
    </row>
    <row r="157" spans="1:57" ht="16.5">
      <c r="A157" s="12"/>
      <c r="AJ157" s="71"/>
      <c r="AK157" s="71"/>
      <c r="AL157" s="71"/>
      <c r="BC157" s="261">
        <f t="shared" si="24"/>
        <v>65.200000000000131</v>
      </c>
      <c r="BD157" s="259">
        <f t="shared" si="22"/>
        <v>10640</v>
      </c>
      <c r="BE157" s="260">
        <f t="shared" si="23"/>
        <v>65.200000000000131</v>
      </c>
    </row>
    <row r="158" spans="1:57" ht="16.5">
      <c r="A158" s="12"/>
      <c r="AJ158" s="71"/>
      <c r="AK158" s="71"/>
      <c r="AL158" s="71"/>
      <c r="BC158" s="261">
        <f t="shared" si="24"/>
        <v>65.300000000000125</v>
      </c>
      <c r="BD158" s="259">
        <f t="shared" si="22"/>
        <v>10710</v>
      </c>
      <c r="BE158" s="260">
        <f t="shared" si="23"/>
        <v>65.300000000000125</v>
      </c>
    </row>
    <row r="159" spans="1:57" ht="16.5">
      <c r="A159" s="12"/>
      <c r="AJ159" s="71"/>
      <c r="AK159" s="71"/>
      <c r="AL159" s="71"/>
      <c r="BC159" s="261">
        <f t="shared" si="24"/>
        <v>65.400000000000119</v>
      </c>
      <c r="BD159" s="259">
        <f t="shared" si="22"/>
        <v>10780</v>
      </c>
      <c r="BE159" s="260">
        <f t="shared" si="23"/>
        <v>65.400000000000119</v>
      </c>
    </row>
    <row r="160" spans="1:57" ht="16.5">
      <c r="A160" s="12"/>
      <c r="AJ160" s="71"/>
      <c r="AK160" s="71"/>
      <c r="AL160" s="71"/>
      <c r="BC160" s="261">
        <f t="shared" si="24"/>
        <v>65.500000000000114</v>
      </c>
      <c r="BD160" s="259">
        <f t="shared" si="22"/>
        <v>10850</v>
      </c>
      <c r="BE160" s="260">
        <f t="shared" si="23"/>
        <v>65.500000000000114</v>
      </c>
    </row>
    <row r="161" spans="1:57" ht="16.5">
      <c r="A161" s="12"/>
      <c r="AJ161" s="71"/>
      <c r="AK161" s="71"/>
      <c r="AL161" s="71"/>
      <c r="BC161" s="261">
        <f t="shared" si="24"/>
        <v>65.600000000000108</v>
      </c>
      <c r="BD161" s="259">
        <f t="shared" si="22"/>
        <v>10920</v>
      </c>
      <c r="BE161" s="260">
        <f t="shared" si="23"/>
        <v>65.600000000000108</v>
      </c>
    </row>
    <row r="162" spans="1:57" ht="16.5">
      <c r="A162" s="12"/>
      <c r="AJ162" s="71"/>
      <c r="AK162" s="71"/>
      <c r="AL162" s="71"/>
      <c r="BC162" s="261">
        <f t="shared" si="24"/>
        <v>65.700000000000102</v>
      </c>
      <c r="BD162" s="259">
        <f t="shared" si="22"/>
        <v>10990</v>
      </c>
      <c r="BE162" s="260">
        <f t="shared" si="23"/>
        <v>65.700000000000102</v>
      </c>
    </row>
    <row r="163" spans="1:57" ht="16.5">
      <c r="A163" s="12"/>
      <c r="AJ163" s="71"/>
      <c r="AK163" s="71"/>
      <c r="AL163" s="71"/>
      <c r="BC163" s="261">
        <f t="shared" si="24"/>
        <v>65.800000000000097</v>
      </c>
      <c r="BD163" s="259">
        <f t="shared" si="22"/>
        <v>11060</v>
      </c>
      <c r="BE163" s="260">
        <f t="shared" si="23"/>
        <v>65.800000000000097</v>
      </c>
    </row>
    <row r="164" spans="1:57" ht="16.5">
      <c r="A164" s="12"/>
      <c r="AJ164" s="71"/>
      <c r="AK164" s="71"/>
      <c r="AL164" s="71"/>
      <c r="BC164" s="261">
        <f t="shared" si="24"/>
        <v>65.900000000000091</v>
      </c>
      <c r="BD164" s="259">
        <f t="shared" si="22"/>
        <v>11130</v>
      </c>
      <c r="BE164" s="260">
        <f t="shared" si="23"/>
        <v>65.900000000000091</v>
      </c>
    </row>
    <row r="165" spans="1:57" ht="16.5">
      <c r="A165" s="12"/>
      <c r="AJ165" s="71"/>
      <c r="AK165" s="71"/>
      <c r="AL165" s="71"/>
      <c r="BC165" s="261">
        <f t="shared" si="24"/>
        <v>66.000000000000085</v>
      </c>
      <c r="BD165" s="259">
        <f t="shared" si="22"/>
        <v>11200</v>
      </c>
      <c r="BE165" s="260">
        <f t="shared" si="23"/>
        <v>66.000000000000085</v>
      </c>
    </row>
    <row r="166" spans="1:57" ht="16.5">
      <c r="A166" s="12"/>
      <c r="AJ166" s="71"/>
      <c r="AK166" s="71"/>
      <c r="AL166" s="71"/>
      <c r="BC166" s="261">
        <f t="shared" si="24"/>
        <v>66.10000000000008</v>
      </c>
      <c r="BD166" s="259">
        <f t="shared" si="22"/>
        <v>11270</v>
      </c>
      <c r="BE166" s="260">
        <f t="shared" si="23"/>
        <v>66.10000000000008</v>
      </c>
    </row>
    <row r="167" spans="1:57" ht="16.5">
      <c r="A167" s="12"/>
      <c r="AJ167" s="71"/>
      <c r="AK167" s="71"/>
      <c r="AL167" s="71"/>
      <c r="BC167" s="261">
        <f t="shared" si="24"/>
        <v>66.200000000000074</v>
      </c>
      <c r="BD167" s="259">
        <f t="shared" si="22"/>
        <v>11340</v>
      </c>
      <c r="BE167" s="260">
        <f t="shared" si="23"/>
        <v>66.200000000000074</v>
      </c>
    </row>
    <row r="168" spans="1:57" ht="16.5">
      <c r="A168" s="12"/>
      <c r="AJ168" s="71"/>
      <c r="AK168" s="71"/>
      <c r="AL168" s="71"/>
      <c r="BC168" s="261">
        <f t="shared" si="24"/>
        <v>66.300000000000068</v>
      </c>
      <c r="BD168" s="259">
        <f t="shared" si="22"/>
        <v>11410</v>
      </c>
      <c r="BE168" s="260">
        <f t="shared" si="23"/>
        <v>66.300000000000068</v>
      </c>
    </row>
    <row r="169" spans="1:57" ht="16.5">
      <c r="A169" s="12"/>
      <c r="AJ169" s="71"/>
      <c r="AK169" s="71"/>
      <c r="AL169" s="71"/>
      <c r="BC169" s="261">
        <f t="shared" si="24"/>
        <v>66.400000000000063</v>
      </c>
      <c r="BD169" s="259">
        <f t="shared" si="22"/>
        <v>11480</v>
      </c>
      <c r="BE169" s="260">
        <f t="shared" si="23"/>
        <v>66.400000000000063</v>
      </c>
    </row>
    <row r="170" spans="1:57" ht="16.5">
      <c r="A170" s="12"/>
      <c r="AJ170" s="71"/>
      <c r="AK170" s="71"/>
      <c r="AL170" s="71"/>
      <c r="BC170" s="261">
        <f t="shared" si="24"/>
        <v>66.500000000000057</v>
      </c>
      <c r="BD170" s="259">
        <f t="shared" si="22"/>
        <v>11550</v>
      </c>
      <c r="BE170" s="260">
        <f t="shared" si="23"/>
        <v>66.500000000000057</v>
      </c>
    </row>
    <row r="171" spans="1:57" ht="16.5">
      <c r="A171" s="12"/>
      <c r="AJ171" s="71"/>
      <c r="AK171" s="71"/>
      <c r="AL171" s="71"/>
      <c r="BC171" s="261">
        <f t="shared" si="24"/>
        <v>66.600000000000051</v>
      </c>
      <c r="BD171" s="259">
        <f t="shared" si="22"/>
        <v>11620</v>
      </c>
      <c r="BE171" s="260">
        <f t="shared" si="23"/>
        <v>66.600000000000051</v>
      </c>
    </row>
    <row r="172" spans="1:57" ht="16.5">
      <c r="A172" s="12"/>
      <c r="AJ172" s="71"/>
      <c r="AK172" s="71"/>
      <c r="AL172" s="71"/>
      <c r="BC172" s="261">
        <f t="shared" si="24"/>
        <v>66.700000000000045</v>
      </c>
      <c r="BD172" s="259">
        <f t="shared" si="22"/>
        <v>11690</v>
      </c>
      <c r="BE172" s="260">
        <f t="shared" si="23"/>
        <v>66.700000000000045</v>
      </c>
    </row>
    <row r="173" spans="1:57" ht="16.5">
      <c r="A173" s="12"/>
      <c r="AJ173" s="71"/>
      <c r="AK173" s="71"/>
      <c r="AL173" s="71"/>
      <c r="BC173" s="261">
        <f t="shared" si="24"/>
        <v>66.80000000000004</v>
      </c>
      <c r="BD173" s="259">
        <f t="shared" si="22"/>
        <v>11760</v>
      </c>
      <c r="BE173" s="260">
        <f t="shared" si="23"/>
        <v>66.80000000000004</v>
      </c>
    </row>
    <row r="174" spans="1:57" ht="16.5">
      <c r="A174" s="12"/>
      <c r="AJ174" s="71"/>
      <c r="AK174" s="71"/>
      <c r="AL174" s="71"/>
      <c r="BC174" s="261">
        <f t="shared" si="24"/>
        <v>66.900000000000034</v>
      </c>
      <c r="BD174" s="259">
        <f t="shared" si="22"/>
        <v>11830</v>
      </c>
      <c r="BE174" s="260">
        <f t="shared" si="23"/>
        <v>66.900000000000034</v>
      </c>
    </row>
    <row r="175" spans="1:57" ht="16.5">
      <c r="A175" s="12"/>
      <c r="AJ175" s="71"/>
      <c r="AK175" s="71"/>
      <c r="AL175" s="71"/>
      <c r="BC175" s="261">
        <f t="shared" si="24"/>
        <v>67.000000000000028</v>
      </c>
      <c r="BD175" s="259">
        <f t="shared" si="22"/>
        <v>11900</v>
      </c>
      <c r="BE175" s="260">
        <f t="shared" si="23"/>
        <v>67.000000000000028</v>
      </c>
    </row>
    <row r="176" spans="1:57" ht="16.5">
      <c r="AJ176" s="71"/>
      <c r="AK176" s="71"/>
      <c r="AL176" s="71"/>
      <c r="BC176" s="261">
        <f t="shared" si="24"/>
        <v>67.100000000000023</v>
      </c>
      <c r="BD176" s="259">
        <f t="shared" si="22"/>
        <v>11970</v>
      </c>
      <c r="BE176" s="260">
        <f t="shared" si="23"/>
        <v>67.100000000000023</v>
      </c>
    </row>
    <row r="177" spans="20:57" ht="16.5">
      <c r="AJ177" s="71"/>
      <c r="AK177" s="71"/>
      <c r="AL177" s="71"/>
      <c r="BC177" s="261">
        <f t="shared" si="24"/>
        <v>67.200000000000017</v>
      </c>
      <c r="BD177" s="259">
        <f t="shared" si="22"/>
        <v>12040</v>
      </c>
      <c r="BE177" s="260">
        <f t="shared" si="23"/>
        <v>67.200000000000017</v>
      </c>
    </row>
    <row r="178" spans="20:57" ht="16.5">
      <c r="AJ178" s="71"/>
      <c r="AK178" s="71"/>
      <c r="AL178" s="71"/>
      <c r="BC178" s="261">
        <f t="shared" si="24"/>
        <v>67.300000000000011</v>
      </c>
      <c r="BD178" s="259">
        <f t="shared" si="22"/>
        <v>12110</v>
      </c>
      <c r="BE178" s="260">
        <f t="shared" si="23"/>
        <v>67.300000000000011</v>
      </c>
    </row>
    <row r="179" spans="20:57" ht="16.5">
      <c r="AJ179" s="71"/>
      <c r="AK179" s="71"/>
      <c r="AL179" s="71"/>
      <c r="BC179" s="261">
        <f t="shared" si="24"/>
        <v>67.400000000000006</v>
      </c>
      <c r="BD179" s="259">
        <f t="shared" si="22"/>
        <v>12180</v>
      </c>
      <c r="BE179" s="260">
        <f t="shared" si="23"/>
        <v>67.400000000000006</v>
      </c>
    </row>
    <row r="180" spans="20:57" ht="16.5">
      <c r="V180" s="81"/>
      <c r="AJ180" s="71"/>
      <c r="AK180" s="71"/>
      <c r="AL180" s="71"/>
      <c r="BC180" s="261">
        <f t="shared" si="24"/>
        <v>67.5</v>
      </c>
      <c r="BD180" s="259">
        <f t="shared" si="22"/>
        <v>12250</v>
      </c>
      <c r="BE180" s="260">
        <f t="shared" si="23"/>
        <v>67.5</v>
      </c>
    </row>
    <row r="181" spans="20:57" ht="16.5">
      <c r="AJ181" s="71"/>
      <c r="AK181" s="71"/>
      <c r="AL181" s="71"/>
      <c r="BC181" s="261">
        <f t="shared" si="24"/>
        <v>67.599999999999994</v>
      </c>
      <c r="BD181" s="259">
        <f t="shared" si="22"/>
        <v>12320</v>
      </c>
      <c r="BE181" s="260">
        <f t="shared" si="23"/>
        <v>67.599999999999994</v>
      </c>
    </row>
    <row r="182" spans="20:57" ht="16.5">
      <c r="T182" s="82"/>
      <c r="AJ182" s="71"/>
      <c r="AK182" s="71"/>
      <c r="AL182" s="71"/>
      <c r="BC182" s="261">
        <f t="shared" si="24"/>
        <v>67.699999999999989</v>
      </c>
      <c r="BD182" s="259">
        <f t="shared" si="22"/>
        <v>12390</v>
      </c>
      <c r="BE182" s="260">
        <f t="shared" si="23"/>
        <v>67.699999999999989</v>
      </c>
    </row>
    <row r="183" spans="20:57" ht="16.5">
      <c r="T183" s="83"/>
      <c r="AJ183" s="71"/>
      <c r="AK183" s="71"/>
      <c r="AL183" s="71"/>
      <c r="BC183" s="261">
        <f t="shared" si="24"/>
        <v>67.799999999999983</v>
      </c>
      <c r="BD183" s="259">
        <f t="shared" si="22"/>
        <v>12460</v>
      </c>
      <c r="BE183" s="260">
        <f t="shared" si="23"/>
        <v>67.799999999999983</v>
      </c>
    </row>
    <row r="184" spans="20:57" ht="16.5">
      <c r="AJ184" s="71"/>
      <c r="AK184" s="71"/>
      <c r="AL184" s="71"/>
      <c r="BC184" s="261">
        <f t="shared" si="24"/>
        <v>67.899999999999977</v>
      </c>
      <c r="BD184" s="259">
        <f t="shared" si="22"/>
        <v>12530</v>
      </c>
      <c r="BE184" s="260">
        <f t="shared" si="23"/>
        <v>67.899999999999977</v>
      </c>
    </row>
    <row r="185" spans="20:57" ht="16.5">
      <c r="AJ185" s="71"/>
      <c r="AK185" s="71"/>
      <c r="AL185" s="71"/>
      <c r="BC185" s="261">
        <f t="shared" si="24"/>
        <v>67.999999999999972</v>
      </c>
      <c r="BD185" s="259">
        <f t="shared" si="22"/>
        <v>12600</v>
      </c>
      <c r="BE185" s="260">
        <f t="shared" si="23"/>
        <v>67.999999999999972</v>
      </c>
    </row>
    <row r="186" spans="20:57" ht="16.5">
      <c r="AJ186" s="71"/>
      <c r="AK186" s="71"/>
      <c r="AL186" s="71"/>
      <c r="BC186" s="261">
        <f t="shared" si="24"/>
        <v>68.099999999999966</v>
      </c>
      <c r="BD186" s="259">
        <f t="shared" si="22"/>
        <v>12670</v>
      </c>
      <c r="BE186" s="260">
        <f t="shared" si="23"/>
        <v>68.099999999999966</v>
      </c>
    </row>
    <row r="187" spans="20:57" ht="16.5">
      <c r="AJ187" s="71"/>
      <c r="AK187" s="71"/>
      <c r="AL187" s="71"/>
      <c r="BC187" s="261">
        <f t="shared" si="24"/>
        <v>68.19999999999996</v>
      </c>
      <c r="BD187" s="259">
        <f t="shared" si="22"/>
        <v>12740</v>
      </c>
      <c r="BE187" s="260">
        <f t="shared" si="23"/>
        <v>68.19999999999996</v>
      </c>
    </row>
    <row r="188" spans="20:57" ht="16.5">
      <c r="AJ188" s="71"/>
      <c r="AK188" s="71"/>
      <c r="AL188" s="71"/>
      <c r="BC188" s="261">
        <f t="shared" si="24"/>
        <v>68.299999999999955</v>
      </c>
      <c r="BD188" s="259">
        <f t="shared" si="22"/>
        <v>12810</v>
      </c>
      <c r="BE188" s="260">
        <f t="shared" si="23"/>
        <v>68.299999999999955</v>
      </c>
    </row>
    <row r="189" spans="20:57" ht="16.5">
      <c r="AJ189" s="71"/>
      <c r="AK189" s="71"/>
      <c r="AL189" s="71"/>
      <c r="BC189" s="261">
        <f t="shared" si="24"/>
        <v>68.399999999999949</v>
      </c>
      <c r="BD189" s="259">
        <f t="shared" si="22"/>
        <v>12880</v>
      </c>
      <c r="BE189" s="260">
        <f t="shared" si="23"/>
        <v>68.399999999999949</v>
      </c>
    </row>
    <row r="190" spans="20:57" ht="16.5">
      <c r="AJ190" s="71"/>
      <c r="AK190" s="71"/>
      <c r="AL190" s="84"/>
      <c r="BC190" s="261">
        <f t="shared" si="24"/>
        <v>68.499999999999943</v>
      </c>
      <c r="BD190" s="259">
        <f t="shared" si="22"/>
        <v>12950</v>
      </c>
      <c r="BE190" s="260">
        <f t="shared" si="23"/>
        <v>68.499999999999943</v>
      </c>
    </row>
    <row r="191" spans="20:57" ht="16.5">
      <c r="AJ191" s="71"/>
      <c r="AK191" s="71"/>
      <c r="AL191" s="84"/>
      <c r="BC191" s="261">
        <f t="shared" si="24"/>
        <v>68.599999999999937</v>
      </c>
      <c r="BD191" s="259">
        <f t="shared" si="22"/>
        <v>13020</v>
      </c>
      <c r="BE191" s="260">
        <f t="shared" si="23"/>
        <v>68.599999999999937</v>
      </c>
    </row>
    <row r="192" spans="20:57" ht="16.5">
      <c r="AJ192" s="71"/>
      <c r="AK192" s="71"/>
      <c r="AL192" s="84"/>
      <c r="BC192" s="261">
        <f t="shared" si="24"/>
        <v>68.699999999999932</v>
      </c>
      <c r="BD192" s="259">
        <f t="shared" si="22"/>
        <v>13090</v>
      </c>
      <c r="BE192" s="260">
        <f t="shared" si="23"/>
        <v>68.699999999999932</v>
      </c>
    </row>
    <row r="193" spans="36:57" ht="16.5">
      <c r="AJ193" s="71"/>
      <c r="AK193" s="71"/>
      <c r="AL193" s="84"/>
      <c r="BC193" s="261">
        <f t="shared" si="24"/>
        <v>68.799999999999926</v>
      </c>
      <c r="BD193" s="259">
        <f t="shared" si="22"/>
        <v>13160</v>
      </c>
      <c r="BE193" s="260">
        <f t="shared" si="23"/>
        <v>68.799999999999926</v>
      </c>
    </row>
    <row r="194" spans="36:57" ht="16.5">
      <c r="AJ194" s="71"/>
      <c r="AK194" s="71"/>
      <c r="AL194" s="84"/>
      <c r="BC194" s="261">
        <f t="shared" si="24"/>
        <v>68.89999999999992</v>
      </c>
      <c r="BD194" s="259">
        <f t="shared" si="22"/>
        <v>13230</v>
      </c>
      <c r="BE194" s="260">
        <f t="shared" si="23"/>
        <v>68.89999999999992</v>
      </c>
    </row>
    <row r="195" spans="36:57" ht="16.5">
      <c r="AJ195" s="71"/>
      <c r="AK195" s="71"/>
      <c r="AL195" s="84"/>
      <c r="BC195" s="261">
        <f t="shared" si="24"/>
        <v>68.999999999999915</v>
      </c>
      <c r="BD195" s="259">
        <f t="shared" si="22"/>
        <v>13300</v>
      </c>
      <c r="BE195" s="260">
        <f t="shared" si="23"/>
        <v>68.999999999999915</v>
      </c>
    </row>
    <row r="196" spans="36:57" ht="16.5">
      <c r="AJ196" s="71"/>
      <c r="AK196" s="71"/>
      <c r="AL196" s="84"/>
      <c r="BC196" s="261">
        <f t="shared" si="24"/>
        <v>69.099999999999909</v>
      </c>
      <c r="BD196" s="259">
        <f t="shared" si="22"/>
        <v>13370</v>
      </c>
      <c r="BE196" s="260">
        <f t="shared" si="23"/>
        <v>69.099999999999909</v>
      </c>
    </row>
    <row r="197" spans="36:57" ht="16.5">
      <c r="AJ197" s="71"/>
      <c r="AK197" s="71"/>
      <c r="AL197" s="84"/>
      <c r="BC197" s="261">
        <f t="shared" si="24"/>
        <v>69.199999999999903</v>
      </c>
      <c r="BD197" s="259">
        <f t="shared" si="22"/>
        <v>13440</v>
      </c>
      <c r="BE197" s="260">
        <f t="shared" si="23"/>
        <v>69.199999999999903</v>
      </c>
    </row>
    <row r="198" spans="36:57" ht="16.5">
      <c r="AJ198" s="71"/>
      <c r="AK198" s="71"/>
      <c r="AL198" s="84"/>
      <c r="BC198" s="261">
        <f t="shared" si="24"/>
        <v>69.299999999999898</v>
      </c>
      <c r="BD198" s="259">
        <f t="shared" ref="BD198:BD261" si="25">BD197+($BD$4/($BB$4*10))</f>
        <v>13510</v>
      </c>
      <c r="BE198" s="260">
        <f t="shared" ref="BE198:BE261" si="26">BC198</f>
        <v>69.299999999999898</v>
      </c>
    </row>
    <row r="199" spans="36:57" ht="16.5">
      <c r="AJ199" s="71"/>
      <c r="AK199" s="71"/>
      <c r="AL199" s="84"/>
      <c r="BC199" s="261">
        <f t="shared" ref="BC199:BC262" si="27">BC198+0.1</f>
        <v>69.399999999999892</v>
      </c>
      <c r="BD199" s="259">
        <f t="shared" si="25"/>
        <v>13580</v>
      </c>
      <c r="BE199" s="260">
        <f t="shared" si="26"/>
        <v>69.399999999999892</v>
      </c>
    </row>
    <row r="200" spans="36:57" ht="16.5">
      <c r="AJ200" s="71"/>
      <c r="AK200" s="71"/>
      <c r="AL200" s="84"/>
      <c r="BC200" s="261">
        <f t="shared" si="27"/>
        <v>69.499999999999886</v>
      </c>
      <c r="BD200" s="259">
        <f t="shared" si="25"/>
        <v>13650</v>
      </c>
      <c r="BE200" s="260">
        <f t="shared" si="26"/>
        <v>69.499999999999886</v>
      </c>
    </row>
    <row r="201" spans="36:57" ht="16.5">
      <c r="AJ201" s="71"/>
      <c r="AK201" s="71"/>
      <c r="AL201" s="84"/>
      <c r="BC201" s="261">
        <f t="shared" si="27"/>
        <v>69.599999999999881</v>
      </c>
      <c r="BD201" s="259">
        <f t="shared" si="25"/>
        <v>13720</v>
      </c>
      <c r="BE201" s="260">
        <f t="shared" si="26"/>
        <v>69.599999999999881</v>
      </c>
    </row>
    <row r="202" spans="36:57" ht="16.5">
      <c r="AJ202" s="71"/>
      <c r="AK202" s="71"/>
      <c r="AL202" s="84"/>
      <c r="BC202" s="261">
        <f t="shared" si="27"/>
        <v>69.699999999999875</v>
      </c>
      <c r="BD202" s="259">
        <f t="shared" si="25"/>
        <v>13790</v>
      </c>
      <c r="BE202" s="260">
        <f t="shared" si="26"/>
        <v>69.699999999999875</v>
      </c>
    </row>
    <row r="203" spans="36:57" ht="16.5">
      <c r="AJ203" s="71"/>
      <c r="AK203" s="71"/>
      <c r="AL203" s="84"/>
      <c r="BC203" s="261">
        <f t="shared" si="27"/>
        <v>69.799999999999869</v>
      </c>
      <c r="BD203" s="259">
        <f t="shared" si="25"/>
        <v>13860</v>
      </c>
      <c r="BE203" s="260">
        <f t="shared" si="26"/>
        <v>69.799999999999869</v>
      </c>
    </row>
    <row r="204" spans="36:57" ht="16.5">
      <c r="AJ204" s="71"/>
      <c r="AK204" s="71"/>
      <c r="AL204" s="84"/>
      <c r="BC204" s="261">
        <f t="shared" si="27"/>
        <v>69.899999999999864</v>
      </c>
      <c r="BD204" s="259">
        <f t="shared" si="25"/>
        <v>13930</v>
      </c>
      <c r="BE204" s="260">
        <f t="shared" si="26"/>
        <v>69.899999999999864</v>
      </c>
    </row>
    <row r="205" spans="36:57" ht="16.5">
      <c r="AJ205" s="71"/>
      <c r="AK205" s="71"/>
      <c r="AL205" s="84"/>
      <c r="BC205" s="261">
        <f t="shared" si="27"/>
        <v>69.999999999999858</v>
      </c>
      <c r="BD205" s="259">
        <f t="shared" si="25"/>
        <v>14000</v>
      </c>
      <c r="BE205" s="260">
        <f t="shared" si="26"/>
        <v>69.999999999999858</v>
      </c>
    </row>
    <row r="206" spans="36:57" ht="16.5">
      <c r="AJ206" s="71"/>
      <c r="AK206" s="71"/>
      <c r="AL206" s="84"/>
      <c r="BC206" s="261">
        <f t="shared" si="27"/>
        <v>70.099999999999852</v>
      </c>
      <c r="BD206" s="259">
        <f t="shared" si="25"/>
        <v>14070</v>
      </c>
      <c r="BE206" s="260">
        <f t="shared" si="26"/>
        <v>70.099999999999852</v>
      </c>
    </row>
    <row r="207" spans="36:57" ht="16.5">
      <c r="AJ207" s="71"/>
      <c r="AK207" s="71"/>
      <c r="AL207" s="84"/>
      <c r="BC207" s="261">
        <f t="shared" si="27"/>
        <v>70.199999999999847</v>
      </c>
      <c r="BD207" s="259">
        <f t="shared" si="25"/>
        <v>14140</v>
      </c>
      <c r="BE207" s="260">
        <f t="shared" si="26"/>
        <v>70.199999999999847</v>
      </c>
    </row>
    <row r="208" spans="36:57" ht="16.5">
      <c r="AJ208" s="71"/>
      <c r="AK208" s="71"/>
      <c r="AL208" s="84"/>
      <c r="BC208" s="261">
        <f t="shared" si="27"/>
        <v>70.299999999999841</v>
      </c>
      <c r="BD208" s="259">
        <f t="shared" si="25"/>
        <v>14210</v>
      </c>
      <c r="BE208" s="260">
        <f t="shared" si="26"/>
        <v>70.299999999999841</v>
      </c>
    </row>
    <row r="209" spans="36:57" ht="16.5">
      <c r="AJ209" s="71"/>
      <c r="AK209" s="71"/>
      <c r="AL209" s="84"/>
      <c r="BC209" s="261">
        <f t="shared" si="27"/>
        <v>70.399999999999835</v>
      </c>
      <c r="BD209" s="259">
        <f t="shared" si="25"/>
        <v>14280</v>
      </c>
      <c r="BE209" s="260">
        <f t="shared" si="26"/>
        <v>70.399999999999835</v>
      </c>
    </row>
    <row r="210" spans="36:57" ht="16.5">
      <c r="AJ210" s="71"/>
      <c r="AK210" s="71"/>
      <c r="AL210" s="84"/>
      <c r="BC210" s="261">
        <f t="shared" si="27"/>
        <v>70.499999999999829</v>
      </c>
      <c r="BD210" s="259">
        <f t="shared" si="25"/>
        <v>14350</v>
      </c>
      <c r="BE210" s="260">
        <f t="shared" si="26"/>
        <v>70.499999999999829</v>
      </c>
    </row>
    <row r="211" spans="36:57" ht="16.5">
      <c r="AJ211" s="71"/>
      <c r="AK211" s="71"/>
      <c r="AL211" s="84"/>
      <c r="BC211" s="261">
        <f t="shared" si="27"/>
        <v>70.599999999999824</v>
      </c>
      <c r="BD211" s="259">
        <f t="shared" si="25"/>
        <v>14420</v>
      </c>
      <c r="BE211" s="260">
        <f t="shared" si="26"/>
        <v>70.599999999999824</v>
      </c>
    </row>
    <row r="212" spans="36:57" ht="16.5">
      <c r="AJ212" s="71"/>
      <c r="AK212" s="71"/>
      <c r="AL212" s="84"/>
      <c r="BC212" s="261">
        <f t="shared" si="27"/>
        <v>70.699999999999818</v>
      </c>
      <c r="BD212" s="259">
        <f t="shared" si="25"/>
        <v>14490</v>
      </c>
      <c r="BE212" s="260">
        <f t="shared" si="26"/>
        <v>70.699999999999818</v>
      </c>
    </row>
    <row r="213" spans="36:57" ht="16.5">
      <c r="AJ213" s="71"/>
      <c r="AK213" s="71"/>
      <c r="AL213" s="84"/>
      <c r="BC213" s="261">
        <f t="shared" si="27"/>
        <v>70.799999999999812</v>
      </c>
      <c r="BD213" s="259">
        <f t="shared" si="25"/>
        <v>14560</v>
      </c>
      <c r="BE213" s="260">
        <f t="shared" si="26"/>
        <v>70.799999999999812</v>
      </c>
    </row>
    <row r="214" spans="36:57" ht="16.5">
      <c r="AJ214" s="71"/>
      <c r="AK214" s="71"/>
      <c r="AL214" s="84"/>
      <c r="BC214" s="261">
        <f t="shared" si="27"/>
        <v>70.899999999999807</v>
      </c>
      <c r="BD214" s="259">
        <f t="shared" si="25"/>
        <v>14630</v>
      </c>
      <c r="BE214" s="260">
        <f t="shared" si="26"/>
        <v>70.899999999999807</v>
      </c>
    </row>
    <row r="215" spans="36:57" ht="16.5">
      <c r="AJ215" s="71"/>
      <c r="AK215" s="71"/>
      <c r="AL215" s="84"/>
      <c r="BC215" s="261">
        <f t="shared" si="27"/>
        <v>70.999999999999801</v>
      </c>
      <c r="BD215" s="259">
        <f t="shared" si="25"/>
        <v>14700</v>
      </c>
      <c r="BE215" s="260">
        <f t="shared" si="26"/>
        <v>70.999999999999801</v>
      </c>
    </row>
    <row r="216" spans="36:57" ht="16.5">
      <c r="AJ216" s="71"/>
      <c r="AK216" s="71"/>
      <c r="AL216" s="84"/>
      <c r="BC216" s="261">
        <f t="shared" si="27"/>
        <v>71.099999999999795</v>
      </c>
      <c r="BD216" s="259">
        <f t="shared" si="25"/>
        <v>14770</v>
      </c>
      <c r="BE216" s="260">
        <f t="shared" si="26"/>
        <v>71.099999999999795</v>
      </c>
    </row>
    <row r="217" spans="36:57" ht="16.5">
      <c r="AJ217" s="71"/>
      <c r="AK217" s="71"/>
      <c r="AL217" s="84"/>
      <c r="BC217" s="261">
        <f t="shared" si="27"/>
        <v>71.19999999999979</v>
      </c>
      <c r="BD217" s="259">
        <f t="shared" si="25"/>
        <v>14840</v>
      </c>
      <c r="BE217" s="260">
        <f t="shared" si="26"/>
        <v>71.19999999999979</v>
      </c>
    </row>
    <row r="218" spans="36:57" ht="16.5">
      <c r="AJ218" s="71"/>
      <c r="AK218" s="71"/>
      <c r="AL218" s="84"/>
      <c r="BC218" s="261">
        <f t="shared" si="27"/>
        <v>71.299999999999784</v>
      </c>
      <c r="BD218" s="259">
        <f t="shared" si="25"/>
        <v>14910</v>
      </c>
      <c r="BE218" s="260">
        <f t="shared" si="26"/>
        <v>71.299999999999784</v>
      </c>
    </row>
    <row r="219" spans="36:57" ht="16.5">
      <c r="AJ219" s="71"/>
      <c r="AK219" s="71"/>
      <c r="AL219" s="84"/>
      <c r="BC219" s="261">
        <f t="shared" si="27"/>
        <v>71.399999999999778</v>
      </c>
      <c r="BD219" s="259">
        <f t="shared" si="25"/>
        <v>14980</v>
      </c>
      <c r="BE219" s="260">
        <f t="shared" si="26"/>
        <v>71.399999999999778</v>
      </c>
    </row>
    <row r="220" spans="36:57" ht="16.5">
      <c r="AJ220" s="71"/>
      <c r="AK220" s="71"/>
      <c r="AL220" s="84"/>
      <c r="BC220" s="261">
        <f t="shared" si="27"/>
        <v>71.499999999999773</v>
      </c>
      <c r="BD220" s="259">
        <f t="shared" si="25"/>
        <v>15050</v>
      </c>
      <c r="BE220" s="260">
        <f t="shared" si="26"/>
        <v>71.499999999999773</v>
      </c>
    </row>
    <row r="221" spans="36:57" ht="16.5">
      <c r="AJ221" s="71"/>
      <c r="AK221" s="71"/>
      <c r="AL221" s="84"/>
      <c r="BC221" s="261">
        <f t="shared" si="27"/>
        <v>71.599999999999767</v>
      </c>
      <c r="BD221" s="259">
        <f t="shared" si="25"/>
        <v>15120</v>
      </c>
      <c r="BE221" s="260">
        <f t="shared" si="26"/>
        <v>71.599999999999767</v>
      </c>
    </row>
    <row r="222" spans="36:57" ht="16.5">
      <c r="AJ222" s="71"/>
      <c r="AK222" s="71"/>
      <c r="AL222" s="84"/>
      <c r="BC222" s="261">
        <f t="shared" si="27"/>
        <v>71.699999999999761</v>
      </c>
      <c r="BD222" s="259">
        <f t="shared" si="25"/>
        <v>15190</v>
      </c>
      <c r="BE222" s="260">
        <f t="shared" si="26"/>
        <v>71.699999999999761</v>
      </c>
    </row>
    <row r="223" spans="36:57" ht="16.5">
      <c r="AJ223" s="71"/>
      <c r="AK223" s="71"/>
      <c r="AL223" s="84"/>
      <c r="BC223" s="261">
        <f t="shared" si="27"/>
        <v>71.799999999999756</v>
      </c>
      <c r="BD223" s="259">
        <f t="shared" si="25"/>
        <v>15260</v>
      </c>
      <c r="BE223" s="260">
        <f t="shared" si="26"/>
        <v>71.799999999999756</v>
      </c>
    </row>
    <row r="224" spans="36:57" ht="16.5">
      <c r="AJ224" s="71"/>
      <c r="AK224" s="71"/>
      <c r="AL224" s="84"/>
      <c r="BC224" s="261">
        <f t="shared" si="27"/>
        <v>71.89999999999975</v>
      </c>
      <c r="BD224" s="259">
        <f t="shared" si="25"/>
        <v>15330</v>
      </c>
      <c r="BE224" s="260">
        <f t="shared" si="26"/>
        <v>71.89999999999975</v>
      </c>
    </row>
    <row r="225" spans="36:57" ht="16.5">
      <c r="AJ225" s="71"/>
      <c r="AK225" s="71"/>
      <c r="AL225" s="84"/>
      <c r="BC225" s="261">
        <f t="shared" si="27"/>
        <v>71.999999999999744</v>
      </c>
      <c r="BD225" s="259">
        <f t="shared" si="25"/>
        <v>15400</v>
      </c>
      <c r="BE225" s="260">
        <f t="shared" si="26"/>
        <v>71.999999999999744</v>
      </c>
    </row>
    <row r="226" spans="36:57" ht="16.5">
      <c r="AJ226" s="71"/>
      <c r="AK226" s="71"/>
      <c r="AL226" s="84"/>
      <c r="BC226" s="261">
        <f t="shared" si="27"/>
        <v>72.099999999999739</v>
      </c>
      <c r="BD226" s="259">
        <f t="shared" si="25"/>
        <v>15470</v>
      </c>
      <c r="BE226" s="260">
        <f t="shared" si="26"/>
        <v>72.099999999999739</v>
      </c>
    </row>
    <row r="227" spans="36:57" ht="16.5">
      <c r="AJ227" s="71"/>
      <c r="AK227" s="71"/>
      <c r="AL227" s="84"/>
      <c r="BC227" s="261">
        <f t="shared" si="27"/>
        <v>72.199999999999733</v>
      </c>
      <c r="BD227" s="259">
        <f t="shared" si="25"/>
        <v>15540</v>
      </c>
      <c r="BE227" s="260">
        <f t="shared" si="26"/>
        <v>72.199999999999733</v>
      </c>
    </row>
    <row r="228" spans="36:57" ht="16.5">
      <c r="AJ228" s="71"/>
      <c r="AK228" s="71"/>
      <c r="AL228" s="84"/>
      <c r="BC228" s="261">
        <f t="shared" si="27"/>
        <v>72.299999999999727</v>
      </c>
      <c r="BD228" s="259">
        <f t="shared" si="25"/>
        <v>15610</v>
      </c>
      <c r="BE228" s="260">
        <f t="shared" si="26"/>
        <v>72.299999999999727</v>
      </c>
    </row>
    <row r="229" spans="36:57" ht="16.5">
      <c r="AJ229" s="71"/>
      <c r="AK229" s="71"/>
      <c r="AL229" s="84"/>
      <c r="BC229" s="261">
        <f t="shared" si="27"/>
        <v>72.399999999999721</v>
      </c>
      <c r="BD229" s="259">
        <f t="shared" si="25"/>
        <v>15680</v>
      </c>
      <c r="BE229" s="260">
        <f t="shared" si="26"/>
        <v>72.399999999999721</v>
      </c>
    </row>
    <row r="230" spans="36:57" ht="16.5">
      <c r="AJ230" s="71"/>
      <c r="AK230" s="71"/>
      <c r="AL230" s="84"/>
      <c r="BC230" s="261">
        <f t="shared" si="27"/>
        <v>72.499999999999716</v>
      </c>
      <c r="BD230" s="259">
        <f t="shared" si="25"/>
        <v>15750</v>
      </c>
      <c r="BE230" s="260">
        <f t="shared" si="26"/>
        <v>72.499999999999716</v>
      </c>
    </row>
    <row r="231" spans="36:57" ht="16.5">
      <c r="AJ231" s="71"/>
      <c r="AK231" s="71"/>
      <c r="AL231" s="84"/>
      <c r="BC231" s="261">
        <f t="shared" si="27"/>
        <v>72.59999999999971</v>
      </c>
      <c r="BD231" s="259">
        <f t="shared" si="25"/>
        <v>15820</v>
      </c>
      <c r="BE231" s="260">
        <f t="shared" si="26"/>
        <v>72.59999999999971</v>
      </c>
    </row>
    <row r="232" spans="36:57" ht="16.5">
      <c r="AJ232" s="71"/>
      <c r="AK232" s="71"/>
      <c r="AL232" s="84"/>
      <c r="BC232" s="261">
        <f t="shared" si="27"/>
        <v>72.699999999999704</v>
      </c>
      <c r="BD232" s="259">
        <f t="shared" si="25"/>
        <v>15890</v>
      </c>
      <c r="BE232" s="260">
        <f t="shared" si="26"/>
        <v>72.699999999999704</v>
      </c>
    </row>
    <row r="233" spans="36:57" ht="16.5">
      <c r="AJ233" s="71"/>
      <c r="AK233" s="71"/>
      <c r="AL233" s="84"/>
      <c r="BC233" s="261">
        <f t="shared" si="27"/>
        <v>72.799999999999699</v>
      </c>
      <c r="BD233" s="259">
        <f t="shared" si="25"/>
        <v>15960</v>
      </c>
      <c r="BE233" s="260">
        <f t="shared" si="26"/>
        <v>72.799999999999699</v>
      </c>
    </row>
    <row r="234" spans="36:57" ht="16.5">
      <c r="AJ234" s="71"/>
      <c r="AK234" s="71"/>
      <c r="AL234" s="84"/>
      <c r="BC234" s="261">
        <f t="shared" si="27"/>
        <v>72.899999999999693</v>
      </c>
      <c r="BD234" s="259">
        <f t="shared" si="25"/>
        <v>16030</v>
      </c>
      <c r="BE234" s="260">
        <f t="shared" si="26"/>
        <v>72.899999999999693</v>
      </c>
    </row>
    <row r="235" spans="36:57" ht="16.5">
      <c r="AJ235" s="71"/>
      <c r="AK235" s="71"/>
      <c r="AL235" s="84"/>
      <c r="BC235" s="261">
        <f t="shared" si="27"/>
        <v>72.999999999999687</v>
      </c>
      <c r="BD235" s="259">
        <f t="shared" si="25"/>
        <v>16100</v>
      </c>
      <c r="BE235" s="260">
        <f t="shared" si="26"/>
        <v>72.999999999999687</v>
      </c>
    </row>
    <row r="236" spans="36:57" ht="16.5">
      <c r="AJ236" s="71"/>
      <c r="AK236" s="71"/>
      <c r="AL236" s="84"/>
      <c r="BC236" s="261">
        <f t="shared" si="27"/>
        <v>73.099999999999682</v>
      </c>
      <c r="BD236" s="259">
        <f t="shared" si="25"/>
        <v>16170</v>
      </c>
      <c r="BE236" s="260">
        <f t="shared" si="26"/>
        <v>73.099999999999682</v>
      </c>
    </row>
    <row r="237" spans="36:57" ht="16.5">
      <c r="AJ237" s="71"/>
      <c r="AK237" s="71"/>
      <c r="AL237" s="84"/>
      <c r="BC237" s="261">
        <f t="shared" si="27"/>
        <v>73.199999999999676</v>
      </c>
      <c r="BD237" s="259">
        <f t="shared" si="25"/>
        <v>16240</v>
      </c>
      <c r="BE237" s="260">
        <f t="shared" si="26"/>
        <v>73.199999999999676</v>
      </c>
    </row>
    <row r="238" spans="36:57" ht="16.5">
      <c r="AJ238" s="71"/>
      <c r="AK238" s="71"/>
      <c r="AL238" s="84"/>
      <c r="BC238" s="261">
        <f t="shared" si="27"/>
        <v>73.29999999999967</v>
      </c>
      <c r="BD238" s="259">
        <f t="shared" si="25"/>
        <v>16310</v>
      </c>
      <c r="BE238" s="260">
        <f t="shared" si="26"/>
        <v>73.29999999999967</v>
      </c>
    </row>
    <row r="239" spans="36:57" ht="16.5">
      <c r="AJ239" s="71"/>
      <c r="AK239" s="71"/>
      <c r="AL239" s="84"/>
      <c r="BC239" s="261">
        <f t="shared" si="27"/>
        <v>73.399999999999665</v>
      </c>
      <c r="BD239" s="259">
        <f t="shared" si="25"/>
        <v>16380</v>
      </c>
      <c r="BE239" s="260">
        <f t="shared" si="26"/>
        <v>73.399999999999665</v>
      </c>
    </row>
    <row r="240" spans="36:57" ht="16.5">
      <c r="AJ240" s="71"/>
      <c r="AK240" s="71"/>
      <c r="AL240" s="84"/>
      <c r="BC240" s="261">
        <f t="shared" si="27"/>
        <v>73.499999999999659</v>
      </c>
      <c r="BD240" s="259">
        <f t="shared" si="25"/>
        <v>16450</v>
      </c>
      <c r="BE240" s="260">
        <f t="shared" si="26"/>
        <v>73.499999999999659</v>
      </c>
    </row>
    <row r="241" spans="36:57" ht="16.5">
      <c r="AJ241" s="71"/>
      <c r="AK241" s="71"/>
      <c r="AL241" s="84"/>
      <c r="BC241" s="261">
        <f t="shared" si="27"/>
        <v>73.599999999999653</v>
      </c>
      <c r="BD241" s="259">
        <f t="shared" si="25"/>
        <v>16520</v>
      </c>
      <c r="BE241" s="260">
        <f t="shared" si="26"/>
        <v>73.599999999999653</v>
      </c>
    </row>
    <row r="242" spans="36:57" ht="16.5">
      <c r="AJ242" s="71"/>
      <c r="AK242" s="71"/>
      <c r="AL242" s="84"/>
      <c r="BC242" s="261">
        <f t="shared" si="27"/>
        <v>73.699999999999648</v>
      </c>
      <c r="BD242" s="259">
        <f t="shared" si="25"/>
        <v>16590</v>
      </c>
      <c r="BE242" s="260">
        <f t="shared" si="26"/>
        <v>73.699999999999648</v>
      </c>
    </row>
    <row r="243" spans="36:57" ht="16.5">
      <c r="AJ243" s="71"/>
      <c r="AK243" s="71"/>
      <c r="AL243" s="84"/>
      <c r="BC243" s="261">
        <f t="shared" si="27"/>
        <v>73.799999999999642</v>
      </c>
      <c r="BD243" s="259">
        <f t="shared" si="25"/>
        <v>16660</v>
      </c>
      <c r="BE243" s="260">
        <f t="shared" si="26"/>
        <v>73.799999999999642</v>
      </c>
    </row>
    <row r="244" spans="36:57" ht="16.5">
      <c r="AJ244" s="71"/>
      <c r="AK244" s="71"/>
      <c r="AL244" s="84"/>
      <c r="BC244" s="261">
        <f t="shared" si="27"/>
        <v>73.899999999999636</v>
      </c>
      <c r="BD244" s="259">
        <f t="shared" si="25"/>
        <v>16730</v>
      </c>
      <c r="BE244" s="260">
        <f t="shared" si="26"/>
        <v>73.899999999999636</v>
      </c>
    </row>
    <row r="245" spans="36:57" ht="16.5">
      <c r="AJ245" s="71"/>
      <c r="AK245" s="71"/>
      <c r="AL245" s="84"/>
      <c r="BC245" s="261">
        <f t="shared" si="27"/>
        <v>73.999999999999631</v>
      </c>
      <c r="BD245" s="259">
        <f t="shared" si="25"/>
        <v>16800</v>
      </c>
      <c r="BE245" s="260">
        <f t="shared" si="26"/>
        <v>73.999999999999631</v>
      </c>
    </row>
    <row r="246" spans="36:57" ht="16.5">
      <c r="AJ246" s="71"/>
      <c r="AK246" s="71"/>
      <c r="AL246" s="84"/>
      <c r="BC246" s="261">
        <f t="shared" si="27"/>
        <v>74.099999999999625</v>
      </c>
      <c r="BD246" s="259">
        <f t="shared" si="25"/>
        <v>16870</v>
      </c>
      <c r="BE246" s="260">
        <f t="shared" si="26"/>
        <v>74.099999999999625</v>
      </c>
    </row>
    <row r="247" spans="36:57" ht="16.5">
      <c r="AJ247" s="71"/>
      <c r="AK247" s="71"/>
      <c r="AL247" s="84"/>
      <c r="BC247" s="261">
        <f t="shared" si="27"/>
        <v>74.199999999999619</v>
      </c>
      <c r="BD247" s="259">
        <f t="shared" si="25"/>
        <v>16940</v>
      </c>
      <c r="BE247" s="260">
        <f t="shared" si="26"/>
        <v>74.199999999999619</v>
      </c>
    </row>
    <row r="248" spans="36:57" ht="16.5">
      <c r="AJ248" s="71"/>
      <c r="AK248" s="71"/>
      <c r="AL248" s="84"/>
      <c r="BC248" s="261">
        <f t="shared" si="27"/>
        <v>74.299999999999613</v>
      </c>
      <c r="BD248" s="259">
        <f t="shared" si="25"/>
        <v>17010</v>
      </c>
      <c r="BE248" s="260">
        <f t="shared" si="26"/>
        <v>74.299999999999613</v>
      </c>
    </row>
    <row r="249" spans="36:57" ht="16.5">
      <c r="AJ249" s="71"/>
      <c r="AK249" s="71"/>
      <c r="AL249" s="84"/>
      <c r="BC249" s="261">
        <f t="shared" si="27"/>
        <v>74.399999999999608</v>
      </c>
      <c r="BD249" s="259">
        <f t="shared" si="25"/>
        <v>17080</v>
      </c>
      <c r="BE249" s="260">
        <f t="shared" si="26"/>
        <v>74.399999999999608</v>
      </c>
    </row>
    <row r="250" spans="36:57" ht="16.5">
      <c r="AJ250" s="71"/>
      <c r="AK250" s="71"/>
      <c r="AL250" s="84"/>
      <c r="BC250" s="261">
        <f t="shared" si="27"/>
        <v>74.499999999999602</v>
      </c>
      <c r="BD250" s="259">
        <f t="shared" si="25"/>
        <v>17150</v>
      </c>
      <c r="BE250" s="260">
        <f t="shared" si="26"/>
        <v>74.499999999999602</v>
      </c>
    </row>
    <row r="251" spans="36:57" ht="16.5">
      <c r="AJ251" s="71"/>
      <c r="AK251" s="71"/>
      <c r="AL251" s="84"/>
      <c r="BC251" s="261">
        <f t="shared" si="27"/>
        <v>74.599999999999596</v>
      </c>
      <c r="BD251" s="259">
        <f t="shared" si="25"/>
        <v>17220</v>
      </c>
      <c r="BE251" s="260">
        <f t="shared" si="26"/>
        <v>74.599999999999596</v>
      </c>
    </row>
    <row r="252" spans="36:57" ht="16.5">
      <c r="AJ252" s="71"/>
      <c r="AK252" s="71"/>
      <c r="AL252" s="84"/>
      <c r="BC252" s="261">
        <f t="shared" si="27"/>
        <v>74.699999999999591</v>
      </c>
      <c r="BD252" s="259">
        <f t="shared" si="25"/>
        <v>17290</v>
      </c>
      <c r="BE252" s="260">
        <f t="shared" si="26"/>
        <v>74.699999999999591</v>
      </c>
    </row>
    <row r="253" spans="36:57" ht="16.5">
      <c r="AJ253" s="71"/>
      <c r="AK253" s="71"/>
      <c r="AL253" s="84"/>
      <c r="BC253" s="261">
        <f t="shared" si="27"/>
        <v>74.799999999999585</v>
      </c>
      <c r="BD253" s="259">
        <f t="shared" si="25"/>
        <v>17360</v>
      </c>
      <c r="BE253" s="260">
        <f t="shared" si="26"/>
        <v>74.799999999999585</v>
      </c>
    </row>
    <row r="254" spans="36:57" ht="16.5">
      <c r="AJ254" s="71"/>
      <c r="AK254" s="71"/>
      <c r="AL254" s="84"/>
      <c r="BC254" s="261">
        <f t="shared" si="27"/>
        <v>74.899999999999579</v>
      </c>
      <c r="BD254" s="259">
        <f t="shared" si="25"/>
        <v>17430</v>
      </c>
      <c r="BE254" s="260">
        <f t="shared" si="26"/>
        <v>74.899999999999579</v>
      </c>
    </row>
    <row r="255" spans="36:57" ht="16.5">
      <c r="AJ255" s="71"/>
      <c r="AK255" s="71"/>
      <c r="AL255" s="84"/>
      <c r="BC255" s="261">
        <f t="shared" si="27"/>
        <v>74.999999999999574</v>
      </c>
      <c r="BD255" s="259">
        <f t="shared" si="25"/>
        <v>17500</v>
      </c>
      <c r="BE255" s="260">
        <f t="shared" si="26"/>
        <v>74.999999999999574</v>
      </c>
    </row>
    <row r="256" spans="36:57" ht="16.5">
      <c r="AJ256" s="71"/>
      <c r="AK256" s="71"/>
      <c r="AL256" s="84"/>
      <c r="BC256" s="261">
        <f t="shared" si="27"/>
        <v>75.099999999999568</v>
      </c>
      <c r="BD256" s="259">
        <f t="shared" si="25"/>
        <v>17570</v>
      </c>
      <c r="BE256" s="260">
        <f t="shared" si="26"/>
        <v>75.099999999999568</v>
      </c>
    </row>
    <row r="257" spans="36:57" ht="16.5">
      <c r="AJ257" s="71"/>
      <c r="AK257" s="71"/>
      <c r="AL257" s="84"/>
      <c r="BC257" s="261">
        <f t="shared" si="27"/>
        <v>75.199999999999562</v>
      </c>
      <c r="BD257" s="259">
        <f t="shared" si="25"/>
        <v>17640</v>
      </c>
      <c r="BE257" s="260">
        <f t="shared" si="26"/>
        <v>75.199999999999562</v>
      </c>
    </row>
    <row r="258" spans="36:57" ht="16.5">
      <c r="AJ258" s="71"/>
      <c r="AK258" s="71"/>
      <c r="AL258" s="84"/>
      <c r="BC258" s="261">
        <f t="shared" si="27"/>
        <v>75.299999999999557</v>
      </c>
      <c r="BD258" s="259">
        <f t="shared" si="25"/>
        <v>17710</v>
      </c>
      <c r="BE258" s="260">
        <f t="shared" si="26"/>
        <v>75.299999999999557</v>
      </c>
    </row>
    <row r="259" spans="36:57" ht="16.5">
      <c r="AJ259" s="71"/>
      <c r="AK259" s="71"/>
      <c r="AL259" s="84"/>
      <c r="BC259" s="261">
        <f t="shared" si="27"/>
        <v>75.399999999999551</v>
      </c>
      <c r="BD259" s="259">
        <f t="shared" si="25"/>
        <v>17780</v>
      </c>
      <c r="BE259" s="260">
        <f t="shared" si="26"/>
        <v>75.399999999999551</v>
      </c>
    </row>
    <row r="260" spans="36:57" ht="16.5">
      <c r="AJ260" s="71"/>
      <c r="AK260" s="71"/>
      <c r="AL260" s="84"/>
      <c r="BC260" s="261">
        <f t="shared" si="27"/>
        <v>75.499999999999545</v>
      </c>
      <c r="BD260" s="259">
        <f t="shared" si="25"/>
        <v>17850</v>
      </c>
      <c r="BE260" s="260">
        <f t="shared" si="26"/>
        <v>75.499999999999545</v>
      </c>
    </row>
    <row r="261" spans="36:57" ht="16.5">
      <c r="AJ261" s="71"/>
      <c r="AK261" s="71"/>
      <c r="AL261" s="84"/>
      <c r="BC261" s="261">
        <f t="shared" si="27"/>
        <v>75.59999999999954</v>
      </c>
      <c r="BD261" s="259">
        <f t="shared" si="25"/>
        <v>17920</v>
      </c>
      <c r="BE261" s="260">
        <f t="shared" si="26"/>
        <v>75.59999999999954</v>
      </c>
    </row>
    <row r="262" spans="36:57" ht="16.5">
      <c r="AJ262" s="71"/>
      <c r="AK262" s="71"/>
      <c r="AL262" s="84"/>
      <c r="BC262" s="261">
        <f t="shared" si="27"/>
        <v>75.699999999999534</v>
      </c>
      <c r="BD262" s="259">
        <f t="shared" ref="BD262:BD325" si="28">BD261+($BD$4/($BB$4*10))</f>
        <v>17990</v>
      </c>
      <c r="BE262" s="260">
        <f t="shared" ref="BE262:BE325" si="29">BC262</f>
        <v>75.699999999999534</v>
      </c>
    </row>
    <row r="263" spans="36:57" ht="16.5">
      <c r="AJ263" s="71"/>
      <c r="AK263" s="71"/>
      <c r="AL263" s="84"/>
      <c r="BC263" s="261">
        <f t="shared" ref="BC263:BC326" si="30">BC262+0.1</f>
        <v>75.799999999999528</v>
      </c>
      <c r="BD263" s="259">
        <f t="shared" si="28"/>
        <v>18060</v>
      </c>
      <c r="BE263" s="260">
        <f t="shared" si="29"/>
        <v>75.799999999999528</v>
      </c>
    </row>
    <row r="264" spans="36:57" ht="16.5">
      <c r="AJ264" s="71"/>
      <c r="AK264" s="71"/>
      <c r="AL264" s="84"/>
      <c r="BC264" s="261">
        <f t="shared" si="30"/>
        <v>75.899999999999523</v>
      </c>
      <c r="BD264" s="259">
        <f t="shared" si="28"/>
        <v>18130</v>
      </c>
      <c r="BE264" s="260">
        <f t="shared" si="29"/>
        <v>75.899999999999523</v>
      </c>
    </row>
    <row r="265" spans="36:57" ht="16.5">
      <c r="AJ265" s="71"/>
      <c r="AK265" s="71"/>
      <c r="AL265" s="84"/>
      <c r="BC265" s="261">
        <f t="shared" si="30"/>
        <v>75.999999999999517</v>
      </c>
      <c r="BD265" s="259">
        <f t="shared" si="28"/>
        <v>18200</v>
      </c>
      <c r="BE265" s="260">
        <f t="shared" si="29"/>
        <v>75.999999999999517</v>
      </c>
    </row>
    <row r="266" spans="36:57" ht="16.5">
      <c r="AJ266" s="71"/>
      <c r="AK266" s="71"/>
      <c r="AL266" s="84"/>
      <c r="BC266" s="261">
        <f t="shared" si="30"/>
        <v>76.099999999999511</v>
      </c>
      <c r="BD266" s="259">
        <f t="shared" si="28"/>
        <v>18270</v>
      </c>
      <c r="BE266" s="260">
        <f t="shared" si="29"/>
        <v>76.099999999999511</v>
      </c>
    </row>
    <row r="267" spans="36:57" ht="16.5">
      <c r="AJ267" s="71"/>
      <c r="AK267" s="71"/>
      <c r="AL267" s="84"/>
      <c r="BC267" s="261">
        <f t="shared" si="30"/>
        <v>76.199999999999505</v>
      </c>
      <c r="BD267" s="259">
        <f t="shared" si="28"/>
        <v>18340</v>
      </c>
      <c r="BE267" s="260">
        <f t="shared" si="29"/>
        <v>76.199999999999505</v>
      </c>
    </row>
    <row r="268" spans="36:57" ht="16.5">
      <c r="AJ268" s="71"/>
      <c r="AK268" s="71"/>
      <c r="AL268" s="84"/>
      <c r="BC268" s="261">
        <f t="shared" si="30"/>
        <v>76.2999999999995</v>
      </c>
      <c r="BD268" s="259">
        <f t="shared" si="28"/>
        <v>18410</v>
      </c>
      <c r="BE268" s="260">
        <f t="shared" si="29"/>
        <v>76.2999999999995</v>
      </c>
    </row>
    <row r="269" spans="36:57" ht="16.5">
      <c r="AJ269" s="71"/>
      <c r="AK269" s="71"/>
      <c r="AL269" s="84"/>
      <c r="BC269" s="261">
        <f t="shared" si="30"/>
        <v>76.399999999999494</v>
      </c>
      <c r="BD269" s="259">
        <f t="shared" si="28"/>
        <v>18480</v>
      </c>
      <c r="BE269" s="260">
        <f t="shared" si="29"/>
        <v>76.399999999999494</v>
      </c>
    </row>
    <row r="270" spans="36:57" ht="16.5">
      <c r="AJ270" s="71"/>
      <c r="AK270" s="71"/>
      <c r="AL270" s="84"/>
      <c r="BC270" s="261">
        <f t="shared" si="30"/>
        <v>76.499999999999488</v>
      </c>
      <c r="BD270" s="259">
        <f t="shared" si="28"/>
        <v>18550</v>
      </c>
      <c r="BE270" s="260">
        <f t="shared" si="29"/>
        <v>76.499999999999488</v>
      </c>
    </row>
    <row r="271" spans="36:57" ht="16.5">
      <c r="AJ271" s="71"/>
      <c r="AK271" s="71"/>
      <c r="AL271" s="84"/>
      <c r="BC271" s="261">
        <f t="shared" si="30"/>
        <v>76.599999999999483</v>
      </c>
      <c r="BD271" s="259">
        <f t="shared" si="28"/>
        <v>18620</v>
      </c>
      <c r="BE271" s="260">
        <f t="shared" si="29"/>
        <v>76.599999999999483</v>
      </c>
    </row>
    <row r="272" spans="36:57" ht="16.5">
      <c r="AJ272" s="71"/>
      <c r="AK272" s="71"/>
      <c r="AL272" s="84"/>
      <c r="BC272" s="261">
        <f t="shared" si="30"/>
        <v>76.699999999999477</v>
      </c>
      <c r="BD272" s="259">
        <f t="shared" si="28"/>
        <v>18690</v>
      </c>
      <c r="BE272" s="260">
        <f t="shared" si="29"/>
        <v>76.699999999999477</v>
      </c>
    </row>
    <row r="273" spans="36:57" ht="16.5">
      <c r="AJ273" s="71"/>
      <c r="AK273" s="71"/>
      <c r="AL273" s="84"/>
      <c r="BC273" s="261">
        <f t="shared" si="30"/>
        <v>76.799999999999471</v>
      </c>
      <c r="BD273" s="259">
        <f t="shared" si="28"/>
        <v>18760</v>
      </c>
      <c r="BE273" s="260">
        <f t="shared" si="29"/>
        <v>76.799999999999471</v>
      </c>
    </row>
    <row r="274" spans="36:57" ht="16.5">
      <c r="AJ274" s="71"/>
      <c r="AK274" s="71"/>
      <c r="AL274" s="84"/>
      <c r="BC274" s="261">
        <f t="shared" si="30"/>
        <v>76.899999999999466</v>
      </c>
      <c r="BD274" s="259">
        <f t="shared" si="28"/>
        <v>18830</v>
      </c>
      <c r="BE274" s="260">
        <f t="shared" si="29"/>
        <v>76.899999999999466</v>
      </c>
    </row>
    <row r="275" spans="36:57" ht="16.5">
      <c r="AJ275" s="71"/>
      <c r="AK275" s="71"/>
      <c r="AL275" s="84"/>
      <c r="BC275" s="261">
        <f t="shared" si="30"/>
        <v>76.99999999999946</v>
      </c>
      <c r="BD275" s="259">
        <f t="shared" si="28"/>
        <v>18900</v>
      </c>
      <c r="BE275" s="260">
        <f t="shared" si="29"/>
        <v>76.99999999999946</v>
      </c>
    </row>
    <row r="276" spans="36:57" ht="16.5">
      <c r="AJ276" s="71"/>
      <c r="AK276" s="71"/>
      <c r="AL276" s="84"/>
      <c r="BC276" s="261">
        <f t="shared" si="30"/>
        <v>77.099999999999454</v>
      </c>
      <c r="BD276" s="259">
        <f t="shared" si="28"/>
        <v>18970</v>
      </c>
      <c r="BE276" s="260">
        <f t="shared" si="29"/>
        <v>77.099999999999454</v>
      </c>
    </row>
    <row r="277" spans="36:57" ht="16.5">
      <c r="AJ277" s="71"/>
      <c r="AK277" s="71"/>
      <c r="AL277" s="84"/>
      <c r="BC277" s="261">
        <f t="shared" si="30"/>
        <v>77.199999999999449</v>
      </c>
      <c r="BD277" s="259">
        <f t="shared" si="28"/>
        <v>19040</v>
      </c>
      <c r="BE277" s="260">
        <f t="shared" si="29"/>
        <v>77.199999999999449</v>
      </c>
    </row>
    <row r="278" spans="36:57" ht="16.5">
      <c r="AJ278" s="71"/>
      <c r="AK278" s="71"/>
      <c r="AL278" s="84"/>
      <c r="BC278" s="261">
        <f t="shared" si="30"/>
        <v>77.299999999999443</v>
      </c>
      <c r="BD278" s="259">
        <f t="shared" si="28"/>
        <v>19110</v>
      </c>
      <c r="BE278" s="260">
        <f t="shared" si="29"/>
        <v>77.299999999999443</v>
      </c>
    </row>
    <row r="279" spans="36:57" ht="16.5">
      <c r="AJ279" s="71"/>
      <c r="AK279" s="71"/>
      <c r="AL279" s="84"/>
      <c r="BC279" s="261">
        <f t="shared" si="30"/>
        <v>77.399999999999437</v>
      </c>
      <c r="BD279" s="259">
        <f t="shared" si="28"/>
        <v>19180</v>
      </c>
      <c r="BE279" s="260">
        <f t="shared" si="29"/>
        <v>77.399999999999437</v>
      </c>
    </row>
    <row r="280" spans="36:57" ht="16.5">
      <c r="AJ280" s="71"/>
      <c r="AK280" s="71"/>
      <c r="AL280" s="84"/>
      <c r="BC280" s="261">
        <f t="shared" si="30"/>
        <v>77.499999999999432</v>
      </c>
      <c r="BD280" s="259">
        <f t="shared" si="28"/>
        <v>19250</v>
      </c>
      <c r="BE280" s="260">
        <f t="shared" si="29"/>
        <v>77.499999999999432</v>
      </c>
    </row>
    <row r="281" spans="36:57" ht="16.5">
      <c r="AJ281" s="71"/>
      <c r="AK281" s="71"/>
      <c r="AL281" s="84"/>
      <c r="BC281" s="261">
        <f t="shared" si="30"/>
        <v>77.599999999999426</v>
      </c>
      <c r="BD281" s="259">
        <f t="shared" si="28"/>
        <v>19320</v>
      </c>
      <c r="BE281" s="260">
        <f t="shared" si="29"/>
        <v>77.599999999999426</v>
      </c>
    </row>
    <row r="282" spans="36:57" ht="16.5">
      <c r="AJ282" s="71"/>
      <c r="AK282" s="71"/>
      <c r="AL282" s="84"/>
      <c r="BC282" s="261">
        <f t="shared" si="30"/>
        <v>77.69999999999942</v>
      </c>
      <c r="BD282" s="259">
        <f t="shared" si="28"/>
        <v>19390</v>
      </c>
      <c r="BE282" s="260">
        <f t="shared" si="29"/>
        <v>77.69999999999942</v>
      </c>
    </row>
    <row r="283" spans="36:57" ht="16.5">
      <c r="AJ283" s="71"/>
      <c r="AK283" s="71"/>
      <c r="AL283" s="84"/>
      <c r="BC283" s="261">
        <f t="shared" si="30"/>
        <v>77.799999999999415</v>
      </c>
      <c r="BD283" s="259">
        <f t="shared" si="28"/>
        <v>19460</v>
      </c>
      <c r="BE283" s="260">
        <f t="shared" si="29"/>
        <v>77.799999999999415</v>
      </c>
    </row>
    <row r="284" spans="36:57" ht="16.5">
      <c r="AJ284" s="71"/>
      <c r="AK284" s="71"/>
      <c r="AL284" s="84"/>
      <c r="BC284" s="261">
        <f t="shared" si="30"/>
        <v>77.899999999999409</v>
      </c>
      <c r="BD284" s="259">
        <f t="shared" si="28"/>
        <v>19530</v>
      </c>
      <c r="BE284" s="260">
        <f t="shared" si="29"/>
        <v>77.899999999999409</v>
      </c>
    </row>
    <row r="285" spans="36:57" ht="16.5">
      <c r="AJ285" s="71"/>
      <c r="AK285" s="71"/>
      <c r="AL285" s="84"/>
      <c r="BC285" s="261">
        <f t="shared" si="30"/>
        <v>77.999999999999403</v>
      </c>
      <c r="BD285" s="259">
        <f t="shared" si="28"/>
        <v>19600</v>
      </c>
      <c r="BE285" s="260">
        <f t="shared" si="29"/>
        <v>77.999999999999403</v>
      </c>
    </row>
    <row r="286" spans="36:57" ht="16.5">
      <c r="AJ286" s="71"/>
      <c r="AK286" s="71"/>
      <c r="AL286" s="84"/>
      <c r="BC286" s="261">
        <f t="shared" si="30"/>
        <v>78.099999999999397</v>
      </c>
      <c r="BD286" s="259">
        <f t="shared" si="28"/>
        <v>19670</v>
      </c>
      <c r="BE286" s="260">
        <f t="shared" si="29"/>
        <v>78.099999999999397</v>
      </c>
    </row>
    <row r="287" spans="36:57" ht="16.5">
      <c r="AJ287" s="71"/>
      <c r="AK287" s="71"/>
      <c r="AL287" s="84"/>
      <c r="BC287" s="261">
        <f t="shared" si="30"/>
        <v>78.199999999999392</v>
      </c>
      <c r="BD287" s="259">
        <f t="shared" si="28"/>
        <v>19740</v>
      </c>
      <c r="BE287" s="260">
        <f t="shared" si="29"/>
        <v>78.199999999999392</v>
      </c>
    </row>
    <row r="288" spans="36:57" ht="16.5">
      <c r="AJ288" s="71"/>
      <c r="AK288" s="71"/>
      <c r="AL288" s="84"/>
      <c r="BC288" s="261">
        <f t="shared" si="30"/>
        <v>78.299999999999386</v>
      </c>
      <c r="BD288" s="259">
        <f t="shared" si="28"/>
        <v>19810</v>
      </c>
      <c r="BE288" s="260">
        <f t="shared" si="29"/>
        <v>78.299999999999386</v>
      </c>
    </row>
    <row r="289" spans="36:57" ht="16.5">
      <c r="AJ289" s="71"/>
      <c r="AK289" s="71"/>
      <c r="AL289" s="84"/>
      <c r="BC289" s="261">
        <f t="shared" si="30"/>
        <v>78.39999999999938</v>
      </c>
      <c r="BD289" s="259">
        <f t="shared" si="28"/>
        <v>19880</v>
      </c>
      <c r="BE289" s="260">
        <f t="shared" si="29"/>
        <v>78.39999999999938</v>
      </c>
    </row>
    <row r="290" spans="36:57" ht="16.5">
      <c r="AJ290" s="71"/>
      <c r="AK290" s="71"/>
      <c r="AL290" s="84"/>
      <c r="BC290" s="261">
        <f t="shared" si="30"/>
        <v>78.499999999999375</v>
      </c>
      <c r="BD290" s="259">
        <f t="shared" si="28"/>
        <v>19950</v>
      </c>
      <c r="BE290" s="260">
        <f t="shared" si="29"/>
        <v>78.499999999999375</v>
      </c>
    </row>
    <row r="291" spans="36:57" ht="16.5">
      <c r="AJ291" s="71"/>
      <c r="AK291" s="71"/>
      <c r="AL291" s="84"/>
      <c r="BC291" s="261">
        <f t="shared" si="30"/>
        <v>78.599999999999369</v>
      </c>
      <c r="BD291" s="259">
        <f t="shared" si="28"/>
        <v>20020</v>
      </c>
      <c r="BE291" s="260">
        <f t="shared" si="29"/>
        <v>78.599999999999369</v>
      </c>
    </row>
    <row r="292" spans="36:57" ht="16.5">
      <c r="AJ292" s="71"/>
      <c r="AK292" s="71"/>
      <c r="AL292" s="84"/>
      <c r="BC292" s="261">
        <f t="shared" si="30"/>
        <v>78.699999999999363</v>
      </c>
      <c r="BD292" s="259">
        <f t="shared" si="28"/>
        <v>20090</v>
      </c>
      <c r="BE292" s="260">
        <f t="shared" si="29"/>
        <v>78.699999999999363</v>
      </c>
    </row>
    <row r="293" spans="36:57" ht="16.5">
      <c r="AJ293" s="71"/>
      <c r="AK293" s="71"/>
      <c r="AL293" s="84"/>
      <c r="BC293" s="261">
        <f t="shared" si="30"/>
        <v>78.799999999999358</v>
      </c>
      <c r="BD293" s="259">
        <f t="shared" si="28"/>
        <v>20160</v>
      </c>
      <c r="BE293" s="260">
        <f t="shared" si="29"/>
        <v>78.799999999999358</v>
      </c>
    </row>
    <row r="294" spans="36:57" ht="16.5">
      <c r="AJ294" s="71"/>
      <c r="AK294" s="71"/>
      <c r="AL294" s="84"/>
      <c r="BC294" s="261">
        <f t="shared" si="30"/>
        <v>78.899999999999352</v>
      </c>
      <c r="BD294" s="259">
        <f t="shared" si="28"/>
        <v>20230</v>
      </c>
      <c r="BE294" s="260">
        <f t="shared" si="29"/>
        <v>78.899999999999352</v>
      </c>
    </row>
    <row r="295" spans="36:57" ht="16.5">
      <c r="AJ295" s="71"/>
      <c r="AK295" s="71"/>
      <c r="AL295" s="84"/>
      <c r="BC295" s="261">
        <f t="shared" si="30"/>
        <v>78.999999999999346</v>
      </c>
      <c r="BD295" s="259">
        <f t="shared" si="28"/>
        <v>20300</v>
      </c>
      <c r="BE295" s="260">
        <f t="shared" si="29"/>
        <v>78.999999999999346</v>
      </c>
    </row>
    <row r="296" spans="36:57" ht="16.5">
      <c r="AJ296" s="71"/>
      <c r="AK296" s="71"/>
      <c r="AL296" s="84"/>
      <c r="BC296" s="261">
        <f t="shared" si="30"/>
        <v>79.099999999999341</v>
      </c>
      <c r="BD296" s="259">
        <f t="shared" si="28"/>
        <v>20370</v>
      </c>
      <c r="BE296" s="260">
        <f t="shared" si="29"/>
        <v>79.099999999999341</v>
      </c>
    </row>
    <row r="297" spans="36:57" ht="16.5">
      <c r="AJ297" s="71"/>
      <c r="AK297" s="71"/>
      <c r="AL297" s="84"/>
      <c r="BC297" s="261">
        <f t="shared" si="30"/>
        <v>79.199999999999335</v>
      </c>
      <c r="BD297" s="259">
        <f t="shared" si="28"/>
        <v>20440</v>
      </c>
      <c r="BE297" s="260">
        <f t="shared" si="29"/>
        <v>79.199999999999335</v>
      </c>
    </row>
    <row r="298" spans="36:57" ht="16.5">
      <c r="AJ298" s="71"/>
      <c r="AK298" s="71"/>
      <c r="AL298" s="84"/>
      <c r="BC298" s="261">
        <f t="shared" si="30"/>
        <v>79.299999999999329</v>
      </c>
      <c r="BD298" s="259">
        <f t="shared" si="28"/>
        <v>20510</v>
      </c>
      <c r="BE298" s="260">
        <f t="shared" si="29"/>
        <v>79.299999999999329</v>
      </c>
    </row>
    <row r="299" spans="36:57" ht="16.5">
      <c r="AJ299" s="71"/>
      <c r="AK299" s="71"/>
      <c r="AL299" s="84"/>
      <c r="BC299" s="261">
        <f t="shared" si="30"/>
        <v>79.399999999999324</v>
      </c>
      <c r="BD299" s="259">
        <f t="shared" si="28"/>
        <v>20580</v>
      </c>
      <c r="BE299" s="260">
        <f t="shared" si="29"/>
        <v>79.399999999999324</v>
      </c>
    </row>
    <row r="300" spans="36:57" ht="16.5">
      <c r="AJ300" s="71"/>
      <c r="AK300" s="71"/>
      <c r="AL300" s="84"/>
      <c r="BC300" s="261">
        <f t="shared" si="30"/>
        <v>79.499999999999318</v>
      </c>
      <c r="BD300" s="259">
        <f t="shared" si="28"/>
        <v>20650</v>
      </c>
      <c r="BE300" s="260">
        <f t="shared" si="29"/>
        <v>79.499999999999318</v>
      </c>
    </row>
    <row r="301" spans="36:57" ht="16.5">
      <c r="AJ301" s="71"/>
      <c r="AK301" s="71"/>
      <c r="AL301" s="84"/>
      <c r="BC301" s="261">
        <f t="shared" si="30"/>
        <v>79.599999999999312</v>
      </c>
      <c r="BD301" s="259">
        <f t="shared" si="28"/>
        <v>20720</v>
      </c>
      <c r="BE301" s="260">
        <f t="shared" si="29"/>
        <v>79.599999999999312</v>
      </c>
    </row>
    <row r="302" spans="36:57" ht="16.5">
      <c r="AJ302" s="71"/>
      <c r="AK302" s="71"/>
      <c r="AL302" s="84"/>
      <c r="BC302" s="261">
        <f t="shared" si="30"/>
        <v>79.699999999999307</v>
      </c>
      <c r="BD302" s="259">
        <f t="shared" si="28"/>
        <v>20790</v>
      </c>
      <c r="BE302" s="260">
        <f t="shared" si="29"/>
        <v>79.699999999999307</v>
      </c>
    </row>
    <row r="303" spans="36:57" ht="16.5">
      <c r="AJ303" s="71"/>
      <c r="AK303" s="71"/>
      <c r="AL303" s="84"/>
      <c r="BC303" s="261">
        <f t="shared" si="30"/>
        <v>79.799999999999301</v>
      </c>
      <c r="BD303" s="259">
        <f t="shared" si="28"/>
        <v>20860</v>
      </c>
      <c r="BE303" s="260">
        <f t="shared" si="29"/>
        <v>79.799999999999301</v>
      </c>
    </row>
    <row r="304" spans="36:57" ht="16.5">
      <c r="AJ304" s="71"/>
      <c r="AK304" s="71"/>
      <c r="AL304" s="84"/>
      <c r="BC304" s="261">
        <f t="shared" si="30"/>
        <v>79.899999999999295</v>
      </c>
      <c r="BD304" s="259">
        <f t="shared" si="28"/>
        <v>20930</v>
      </c>
      <c r="BE304" s="260">
        <f t="shared" si="29"/>
        <v>79.899999999999295</v>
      </c>
    </row>
    <row r="305" spans="36:57" ht="16.5">
      <c r="AJ305" s="71"/>
      <c r="AK305" s="71"/>
      <c r="AL305" s="84"/>
      <c r="BC305" s="261">
        <f t="shared" si="30"/>
        <v>79.999999999999289</v>
      </c>
      <c r="BD305" s="259">
        <f t="shared" si="28"/>
        <v>21000</v>
      </c>
      <c r="BE305" s="260">
        <f t="shared" si="29"/>
        <v>79.999999999999289</v>
      </c>
    </row>
    <row r="306" spans="36:57" ht="16.5">
      <c r="AJ306" s="71"/>
      <c r="AK306" s="71"/>
      <c r="AL306" s="84"/>
      <c r="BC306" s="261">
        <f t="shared" si="30"/>
        <v>80.099999999999284</v>
      </c>
      <c r="BD306" s="259">
        <f t="shared" si="28"/>
        <v>21070</v>
      </c>
      <c r="BE306" s="260">
        <f t="shared" si="29"/>
        <v>80.099999999999284</v>
      </c>
    </row>
    <row r="307" spans="36:57" ht="16.5">
      <c r="AJ307" s="71"/>
      <c r="AK307" s="71"/>
      <c r="AL307" s="84"/>
      <c r="BC307" s="261">
        <f t="shared" si="30"/>
        <v>80.199999999999278</v>
      </c>
      <c r="BD307" s="259">
        <f t="shared" si="28"/>
        <v>21140</v>
      </c>
      <c r="BE307" s="260">
        <f t="shared" si="29"/>
        <v>80.199999999999278</v>
      </c>
    </row>
    <row r="308" spans="36:57" ht="16.5">
      <c r="AJ308" s="71"/>
      <c r="AK308" s="71"/>
      <c r="AL308" s="84"/>
      <c r="BC308" s="261">
        <f t="shared" si="30"/>
        <v>80.299999999999272</v>
      </c>
      <c r="BD308" s="259">
        <f t="shared" si="28"/>
        <v>21210</v>
      </c>
      <c r="BE308" s="260">
        <f t="shared" si="29"/>
        <v>80.299999999999272</v>
      </c>
    </row>
    <row r="309" spans="36:57" ht="16.5">
      <c r="AJ309" s="71"/>
      <c r="AK309" s="71"/>
      <c r="AL309" s="84"/>
      <c r="BC309" s="261">
        <f t="shared" si="30"/>
        <v>80.399999999999267</v>
      </c>
      <c r="BD309" s="259">
        <f t="shared" si="28"/>
        <v>21280</v>
      </c>
      <c r="BE309" s="260">
        <f t="shared" si="29"/>
        <v>80.399999999999267</v>
      </c>
    </row>
    <row r="310" spans="36:57" ht="16.5">
      <c r="AJ310" s="71"/>
      <c r="AK310" s="71"/>
      <c r="AL310" s="84"/>
      <c r="BC310" s="261">
        <f t="shared" si="30"/>
        <v>80.499999999999261</v>
      </c>
      <c r="BD310" s="259">
        <f t="shared" si="28"/>
        <v>21350</v>
      </c>
      <c r="BE310" s="260">
        <f t="shared" si="29"/>
        <v>80.499999999999261</v>
      </c>
    </row>
    <row r="311" spans="36:57" ht="16.5">
      <c r="AJ311" s="71"/>
      <c r="AK311" s="71"/>
      <c r="AL311" s="84"/>
      <c r="BC311" s="261">
        <f t="shared" si="30"/>
        <v>80.599999999999255</v>
      </c>
      <c r="BD311" s="259">
        <f t="shared" si="28"/>
        <v>21420</v>
      </c>
      <c r="BE311" s="260">
        <f t="shared" si="29"/>
        <v>80.599999999999255</v>
      </c>
    </row>
    <row r="312" spans="36:57" ht="16.5">
      <c r="AJ312" s="71"/>
      <c r="AK312" s="71"/>
      <c r="AL312" s="84"/>
      <c r="BC312" s="261">
        <f t="shared" si="30"/>
        <v>80.69999999999925</v>
      </c>
      <c r="BD312" s="259">
        <f t="shared" si="28"/>
        <v>21490</v>
      </c>
      <c r="BE312" s="260">
        <f t="shared" si="29"/>
        <v>80.69999999999925</v>
      </c>
    </row>
    <row r="313" spans="36:57" ht="16.5">
      <c r="AJ313" s="71"/>
      <c r="AK313" s="71"/>
      <c r="AL313" s="84"/>
      <c r="BC313" s="261">
        <f t="shared" si="30"/>
        <v>80.799999999999244</v>
      </c>
      <c r="BD313" s="259">
        <f t="shared" si="28"/>
        <v>21560</v>
      </c>
      <c r="BE313" s="260">
        <f t="shared" si="29"/>
        <v>80.799999999999244</v>
      </c>
    </row>
    <row r="314" spans="36:57" ht="16.5">
      <c r="AJ314" s="71"/>
      <c r="AK314" s="71"/>
      <c r="AL314" s="84"/>
      <c r="BC314" s="261">
        <f t="shared" si="30"/>
        <v>80.899999999999238</v>
      </c>
      <c r="BD314" s="259">
        <f t="shared" si="28"/>
        <v>21630</v>
      </c>
      <c r="BE314" s="260">
        <f t="shared" si="29"/>
        <v>80.899999999999238</v>
      </c>
    </row>
    <row r="315" spans="36:57" ht="16.5">
      <c r="AJ315" s="71"/>
      <c r="AK315" s="71"/>
      <c r="AL315" s="84"/>
      <c r="BC315" s="261">
        <f t="shared" si="30"/>
        <v>80.999999999999233</v>
      </c>
      <c r="BD315" s="259">
        <f t="shared" si="28"/>
        <v>21700</v>
      </c>
      <c r="BE315" s="260">
        <f t="shared" si="29"/>
        <v>80.999999999999233</v>
      </c>
    </row>
    <row r="316" spans="36:57" ht="16.5">
      <c r="AJ316" s="71"/>
      <c r="AK316" s="71"/>
      <c r="AL316" s="84"/>
      <c r="BC316" s="261">
        <f t="shared" si="30"/>
        <v>81.099999999999227</v>
      </c>
      <c r="BD316" s="259">
        <f t="shared" si="28"/>
        <v>21770</v>
      </c>
      <c r="BE316" s="260">
        <f t="shared" si="29"/>
        <v>81.099999999999227</v>
      </c>
    </row>
    <row r="317" spans="36:57" ht="16.5">
      <c r="AJ317" s="71"/>
      <c r="AK317" s="71"/>
      <c r="AL317" s="84"/>
      <c r="BC317" s="261">
        <f t="shared" si="30"/>
        <v>81.199999999999221</v>
      </c>
      <c r="BD317" s="259">
        <f t="shared" si="28"/>
        <v>21840</v>
      </c>
      <c r="BE317" s="260">
        <f t="shared" si="29"/>
        <v>81.199999999999221</v>
      </c>
    </row>
    <row r="318" spans="36:57" ht="16.5">
      <c r="AJ318" s="71"/>
      <c r="AK318" s="71"/>
      <c r="AL318" s="84"/>
      <c r="BC318" s="261">
        <f t="shared" si="30"/>
        <v>81.299999999999216</v>
      </c>
      <c r="BD318" s="259">
        <f t="shared" si="28"/>
        <v>21910</v>
      </c>
      <c r="BE318" s="260">
        <f t="shared" si="29"/>
        <v>81.299999999999216</v>
      </c>
    </row>
    <row r="319" spans="36:57" ht="16.5">
      <c r="AJ319" s="71"/>
      <c r="AK319" s="71"/>
      <c r="AL319" s="84"/>
      <c r="BC319" s="261">
        <f t="shared" si="30"/>
        <v>81.39999999999921</v>
      </c>
      <c r="BD319" s="259">
        <f t="shared" si="28"/>
        <v>21980</v>
      </c>
      <c r="BE319" s="260">
        <f t="shared" si="29"/>
        <v>81.39999999999921</v>
      </c>
    </row>
    <row r="320" spans="36:57" ht="16.5">
      <c r="AJ320" s="71"/>
      <c r="AK320" s="71"/>
      <c r="AL320" s="84"/>
      <c r="BC320" s="261">
        <f t="shared" si="30"/>
        <v>81.499999999999204</v>
      </c>
      <c r="BD320" s="259">
        <f t="shared" si="28"/>
        <v>22050</v>
      </c>
      <c r="BE320" s="260">
        <f t="shared" si="29"/>
        <v>81.499999999999204</v>
      </c>
    </row>
    <row r="321" spans="36:57" ht="16.5">
      <c r="AJ321" s="71"/>
      <c r="AK321" s="71"/>
      <c r="AL321" s="84"/>
      <c r="BC321" s="261">
        <f t="shared" si="30"/>
        <v>81.599999999999199</v>
      </c>
      <c r="BD321" s="259">
        <f t="shared" si="28"/>
        <v>22120</v>
      </c>
      <c r="BE321" s="260">
        <f t="shared" si="29"/>
        <v>81.599999999999199</v>
      </c>
    </row>
    <row r="322" spans="36:57" ht="16.5">
      <c r="AJ322" s="71"/>
      <c r="AK322" s="71"/>
      <c r="AL322" s="84"/>
      <c r="BC322" s="261">
        <f t="shared" si="30"/>
        <v>81.699999999999193</v>
      </c>
      <c r="BD322" s="259">
        <f t="shared" si="28"/>
        <v>22190</v>
      </c>
      <c r="BE322" s="260">
        <f t="shared" si="29"/>
        <v>81.699999999999193</v>
      </c>
    </row>
    <row r="323" spans="36:57" ht="16.5">
      <c r="AJ323" s="71"/>
      <c r="AK323" s="71"/>
      <c r="AL323" s="84"/>
      <c r="BC323" s="261">
        <f t="shared" si="30"/>
        <v>81.799999999999187</v>
      </c>
      <c r="BD323" s="259">
        <f t="shared" si="28"/>
        <v>22260</v>
      </c>
      <c r="BE323" s="260">
        <f t="shared" si="29"/>
        <v>81.799999999999187</v>
      </c>
    </row>
    <row r="324" spans="36:57" ht="16.5">
      <c r="AJ324" s="71"/>
      <c r="AK324" s="71"/>
      <c r="AL324" s="84"/>
      <c r="BC324" s="261">
        <f t="shared" si="30"/>
        <v>81.899999999999181</v>
      </c>
      <c r="BD324" s="259">
        <f t="shared" si="28"/>
        <v>22330</v>
      </c>
      <c r="BE324" s="260">
        <f t="shared" si="29"/>
        <v>81.899999999999181</v>
      </c>
    </row>
    <row r="325" spans="36:57" ht="16.5">
      <c r="AJ325" s="71"/>
      <c r="AK325" s="71"/>
      <c r="AL325" s="84"/>
      <c r="BC325" s="261">
        <f t="shared" si="30"/>
        <v>81.999999999999176</v>
      </c>
      <c r="BD325" s="259">
        <f t="shared" si="28"/>
        <v>22400</v>
      </c>
      <c r="BE325" s="260">
        <f t="shared" si="29"/>
        <v>81.999999999999176</v>
      </c>
    </row>
    <row r="326" spans="36:57" ht="16.5">
      <c r="AJ326" s="71"/>
      <c r="AK326" s="71"/>
      <c r="AL326" s="84"/>
      <c r="BC326" s="261">
        <f t="shared" si="30"/>
        <v>82.09999999999917</v>
      </c>
      <c r="BD326" s="259">
        <f t="shared" ref="BD326:BD389" si="31">BD325+($BD$4/($BB$4*10))</f>
        <v>22470</v>
      </c>
      <c r="BE326" s="260">
        <f t="shared" ref="BE326:BE389" si="32">BC326</f>
        <v>82.09999999999917</v>
      </c>
    </row>
    <row r="327" spans="36:57" ht="16.5">
      <c r="AJ327" s="71"/>
      <c r="AK327" s="71"/>
      <c r="AL327" s="84"/>
      <c r="BC327" s="261">
        <f t="shared" ref="BC327:BC390" si="33">BC326+0.1</f>
        <v>82.199999999999164</v>
      </c>
      <c r="BD327" s="259">
        <f t="shared" si="31"/>
        <v>22540</v>
      </c>
      <c r="BE327" s="260">
        <f t="shared" si="32"/>
        <v>82.199999999999164</v>
      </c>
    </row>
    <row r="328" spans="36:57" ht="16.5">
      <c r="AJ328" s="71"/>
      <c r="AK328" s="71"/>
      <c r="AL328" s="84"/>
      <c r="BC328" s="261">
        <f t="shared" si="33"/>
        <v>82.299999999999159</v>
      </c>
      <c r="BD328" s="259">
        <f t="shared" si="31"/>
        <v>22610</v>
      </c>
      <c r="BE328" s="260">
        <f t="shared" si="32"/>
        <v>82.299999999999159</v>
      </c>
    </row>
    <row r="329" spans="36:57" ht="16.5">
      <c r="AJ329" s="71"/>
      <c r="AK329" s="71"/>
      <c r="AL329" s="84"/>
      <c r="BC329" s="261">
        <f t="shared" si="33"/>
        <v>82.399999999999153</v>
      </c>
      <c r="BD329" s="259">
        <f t="shared" si="31"/>
        <v>22680</v>
      </c>
      <c r="BE329" s="260">
        <f t="shared" si="32"/>
        <v>82.399999999999153</v>
      </c>
    </row>
    <row r="330" spans="36:57" ht="16.5">
      <c r="AJ330" s="71"/>
      <c r="AK330" s="71"/>
      <c r="AL330" s="84"/>
      <c r="BC330" s="261">
        <f t="shared" si="33"/>
        <v>82.499999999999147</v>
      </c>
      <c r="BD330" s="259">
        <f t="shared" si="31"/>
        <v>22750</v>
      </c>
      <c r="BE330" s="260">
        <f t="shared" si="32"/>
        <v>82.499999999999147</v>
      </c>
    </row>
    <row r="331" spans="36:57" ht="16.5">
      <c r="AJ331" s="71"/>
      <c r="AK331" s="71"/>
      <c r="AL331" s="84"/>
      <c r="BC331" s="261">
        <f t="shared" si="33"/>
        <v>82.599999999999142</v>
      </c>
      <c r="BD331" s="259">
        <f t="shared" si="31"/>
        <v>22820</v>
      </c>
      <c r="BE331" s="260">
        <f t="shared" si="32"/>
        <v>82.599999999999142</v>
      </c>
    </row>
    <row r="332" spans="36:57" ht="16.5">
      <c r="AJ332" s="71"/>
      <c r="AK332" s="71"/>
      <c r="AL332" s="84"/>
      <c r="BC332" s="261">
        <f t="shared" si="33"/>
        <v>82.699999999999136</v>
      </c>
      <c r="BD332" s="259">
        <f t="shared" si="31"/>
        <v>22890</v>
      </c>
      <c r="BE332" s="260">
        <f t="shared" si="32"/>
        <v>82.699999999999136</v>
      </c>
    </row>
    <row r="333" spans="36:57" ht="16.5">
      <c r="AJ333" s="71"/>
      <c r="AK333" s="71"/>
      <c r="AL333" s="84"/>
      <c r="BC333" s="261">
        <f t="shared" si="33"/>
        <v>82.79999999999913</v>
      </c>
      <c r="BD333" s="259">
        <f t="shared" si="31"/>
        <v>22960</v>
      </c>
      <c r="BE333" s="260">
        <f t="shared" si="32"/>
        <v>82.79999999999913</v>
      </c>
    </row>
    <row r="334" spans="36:57" ht="16.5">
      <c r="AJ334" s="71"/>
      <c r="AK334" s="71"/>
      <c r="AL334" s="84"/>
      <c r="BC334" s="261">
        <f t="shared" si="33"/>
        <v>82.899999999999125</v>
      </c>
      <c r="BD334" s="259">
        <f t="shared" si="31"/>
        <v>23030</v>
      </c>
      <c r="BE334" s="260">
        <f t="shared" si="32"/>
        <v>82.899999999999125</v>
      </c>
    </row>
    <row r="335" spans="36:57" ht="16.5">
      <c r="AJ335" s="71"/>
      <c r="AK335" s="71"/>
      <c r="AL335" s="84"/>
      <c r="BC335" s="261">
        <f t="shared" si="33"/>
        <v>82.999999999999119</v>
      </c>
      <c r="BD335" s="259">
        <f t="shared" si="31"/>
        <v>23100</v>
      </c>
      <c r="BE335" s="260">
        <f t="shared" si="32"/>
        <v>82.999999999999119</v>
      </c>
    </row>
    <row r="336" spans="36:57" ht="16.5">
      <c r="AJ336" s="71"/>
      <c r="AK336" s="71"/>
      <c r="AL336" s="84"/>
      <c r="BC336" s="261">
        <f t="shared" si="33"/>
        <v>83.099999999999113</v>
      </c>
      <c r="BD336" s="259">
        <f t="shared" si="31"/>
        <v>23170</v>
      </c>
      <c r="BE336" s="260">
        <f t="shared" si="32"/>
        <v>83.099999999999113</v>
      </c>
    </row>
    <row r="337" spans="36:57" ht="16.5">
      <c r="AJ337" s="71"/>
      <c r="AK337" s="71"/>
      <c r="AL337" s="84"/>
      <c r="BC337" s="261">
        <f t="shared" si="33"/>
        <v>83.199999999999108</v>
      </c>
      <c r="BD337" s="259">
        <f t="shared" si="31"/>
        <v>23240</v>
      </c>
      <c r="BE337" s="260">
        <f t="shared" si="32"/>
        <v>83.199999999999108</v>
      </c>
    </row>
    <row r="338" spans="36:57" ht="16.5">
      <c r="AJ338" s="71"/>
      <c r="AK338" s="71"/>
      <c r="AL338" s="84"/>
      <c r="BC338" s="261">
        <f t="shared" si="33"/>
        <v>83.299999999999102</v>
      </c>
      <c r="BD338" s="259">
        <f t="shared" si="31"/>
        <v>23310</v>
      </c>
      <c r="BE338" s="260">
        <f t="shared" si="32"/>
        <v>83.299999999999102</v>
      </c>
    </row>
    <row r="339" spans="36:57" ht="16.5">
      <c r="AJ339" s="71"/>
      <c r="AK339" s="71"/>
      <c r="AL339" s="84"/>
      <c r="BC339" s="261">
        <f t="shared" si="33"/>
        <v>83.399999999999096</v>
      </c>
      <c r="BD339" s="259">
        <f t="shared" si="31"/>
        <v>23380</v>
      </c>
      <c r="BE339" s="260">
        <f t="shared" si="32"/>
        <v>83.399999999999096</v>
      </c>
    </row>
    <row r="340" spans="36:57" ht="16.5">
      <c r="AJ340" s="71"/>
      <c r="AK340" s="71"/>
      <c r="AL340" s="84"/>
      <c r="BC340" s="261">
        <f t="shared" si="33"/>
        <v>83.499999999999091</v>
      </c>
      <c r="BD340" s="259">
        <f t="shared" si="31"/>
        <v>23450</v>
      </c>
      <c r="BE340" s="260">
        <f t="shared" si="32"/>
        <v>83.499999999999091</v>
      </c>
    </row>
    <row r="341" spans="36:57" ht="16.5">
      <c r="AJ341" s="71"/>
      <c r="AK341" s="71"/>
      <c r="AL341" s="84"/>
      <c r="BC341" s="261">
        <f t="shared" si="33"/>
        <v>83.599999999999085</v>
      </c>
      <c r="BD341" s="259">
        <f t="shared" si="31"/>
        <v>23520</v>
      </c>
      <c r="BE341" s="260">
        <f t="shared" si="32"/>
        <v>83.599999999999085</v>
      </c>
    </row>
    <row r="342" spans="36:57" ht="16.5">
      <c r="AJ342" s="71"/>
      <c r="AK342" s="71"/>
      <c r="AL342" s="84"/>
      <c r="BC342" s="261">
        <f t="shared" si="33"/>
        <v>83.699999999999079</v>
      </c>
      <c r="BD342" s="259">
        <f t="shared" si="31"/>
        <v>23590</v>
      </c>
      <c r="BE342" s="260">
        <f t="shared" si="32"/>
        <v>83.699999999999079</v>
      </c>
    </row>
    <row r="343" spans="36:57" ht="16.5">
      <c r="AJ343" s="71"/>
      <c r="AK343" s="71"/>
      <c r="AL343" s="84"/>
      <c r="BC343" s="261">
        <f t="shared" si="33"/>
        <v>83.799999999999073</v>
      </c>
      <c r="BD343" s="259">
        <f t="shared" si="31"/>
        <v>23660</v>
      </c>
      <c r="BE343" s="260">
        <f t="shared" si="32"/>
        <v>83.799999999999073</v>
      </c>
    </row>
    <row r="344" spans="36:57" ht="16.5">
      <c r="AJ344" s="71"/>
      <c r="AK344" s="71"/>
      <c r="AL344" s="84"/>
      <c r="BC344" s="261">
        <f t="shared" si="33"/>
        <v>83.899999999999068</v>
      </c>
      <c r="BD344" s="259">
        <f t="shared" si="31"/>
        <v>23730</v>
      </c>
      <c r="BE344" s="260">
        <f t="shared" si="32"/>
        <v>83.899999999999068</v>
      </c>
    </row>
    <row r="345" spans="36:57" ht="16.5">
      <c r="AJ345" s="71"/>
      <c r="AK345" s="71"/>
      <c r="AL345" s="84"/>
      <c r="BC345" s="261">
        <f t="shared" si="33"/>
        <v>83.999999999999062</v>
      </c>
      <c r="BD345" s="259">
        <f t="shared" si="31"/>
        <v>23800</v>
      </c>
      <c r="BE345" s="260">
        <f t="shared" si="32"/>
        <v>83.999999999999062</v>
      </c>
    </row>
    <row r="346" spans="36:57" ht="16.5">
      <c r="AJ346" s="71"/>
      <c r="AK346" s="71"/>
      <c r="AL346" s="84"/>
      <c r="BC346" s="261">
        <f t="shared" si="33"/>
        <v>84.099999999999056</v>
      </c>
      <c r="BD346" s="259">
        <f t="shared" si="31"/>
        <v>23870</v>
      </c>
      <c r="BE346" s="260">
        <f t="shared" si="32"/>
        <v>84.099999999999056</v>
      </c>
    </row>
    <row r="347" spans="36:57" ht="16.5">
      <c r="AJ347" s="71"/>
      <c r="AK347" s="71"/>
      <c r="AL347" s="84"/>
      <c r="BC347" s="261">
        <f t="shared" si="33"/>
        <v>84.199999999999051</v>
      </c>
      <c r="BD347" s="259">
        <f t="shared" si="31"/>
        <v>23940</v>
      </c>
      <c r="BE347" s="260">
        <f t="shared" si="32"/>
        <v>84.199999999999051</v>
      </c>
    </row>
    <row r="348" spans="36:57" ht="16.5">
      <c r="AJ348" s="71"/>
      <c r="AK348" s="71"/>
      <c r="AL348" s="84"/>
      <c r="BC348" s="261">
        <f t="shared" si="33"/>
        <v>84.299999999999045</v>
      </c>
      <c r="BD348" s="259">
        <f t="shared" si="31"/>
        <v>24010</v>
      </c>
      <c r="BE348" s="260">
        <f t="shared" si="32"/>
        <v>84.299999999999045</v>
      </c>
    </row>
    <row r="349" spans="36:57" ht="16.5">
      <c r="AJ349" s="71"/>
      <c r="AK349" s="71"/>
      <c r="AL349" s="84"/>
      <c r="BC349" s="261">
        <f t="shared" si="33"/>
        <v>84.399999999999039</v>
      </c>
      <c r="BD349" s="259">
        <f t="shared" si="31"/>
        <v>24080</v>
      </c>
      <c r="BE349" s="260">
        <f t="shared" si="32"/>
        <v>84.399999999999039</v>
      </c>
    </row>
    <row r="350" spans="36:57" ht="16.5">
      <c r="AJ350" s="71"/>
      <c r="AK350" s="71"/>
      <c r="AL350" s="84"/>
      <c r="BC350" s="261">
        <f t="shared" si="33"/>
        <v>84.499999999999034</v>
      </c>
      <c r="BD350" s="259">
        <f t="shared" si="31"/>
        <v>24150</v>
      </c>
      <c r="BE350" s="260">
        <f t="shared" si="32"/>
        <v>84.499999999999034</v>
      </c>
    </row>
    <row r="351" spans="36:57" ht="16.5">
      <c r="AJ351" s="71"/>
      <c r="AK351" s="71"/>
      <c r="AL351" s="84"/>
      <c r="BC351" s="261">
        <f t="shared" si="33"/>
        <v>84.599999999999028</v>
      </c>
      <c r="BD351" s="259">
        <f t="shared" si="31"/>
        <v>24220</v>
      </c>
      <c r="BE351" s="260">
        <f t="shared" si="32"/>
        <v>84.599999999999028</v>
      </c>
    </row>
    <row r="352" spans="36:57" ht="16.5">
      <c r="AJ352" s="71"/>
      <c r="AK352" s="71"/>
      <c r="AL352" s="84"/>
      <c r="BC352" s="261">
        <f t="shared" si="33"/>
        <v>84.699999999999022</v>
      </c>
      <c r="BD352" s="259">
        <f t="shared" si="31"/>
        <v>24290</v>
      </c>
      <c r="BE352" s="260">
        <f t="shared" si="32"/>
        <v>84.699999999999022</v>
      </c>
    </row>
    <row r="353" spans="36:57" ht="16.5">
      <c r="AJ353" s="71"/>
      <c r="AK353" s="71"/>
      <c r="AL353" s="84"/>
      <c r="BC353" s="261">
        <f t="shared" si="33"/>
        <v>84.799999999999017</v>
      </c>
      <c r="BD353" s="259">
        <f t="shared" si="31"/>
        <v>24360</v>
      </c>
      <c r="BE353" s="260">
        <f t="shared" si="32"/>
        <v>84.799999999999017</v>
      </c>
    </row>
    <row r="354" spans="36:57" ht="16.5">
      <c r="AJ354" s="71"/>
      <c r="AK354" s="71"/>
      <c r="AL354" s="84"/>
      <c r="BC354" s="261">
        <f t="shared" si="33"/>
        <v>84.899999999999011</v>
      </c>
      <c r="BD354" s="259">
        <f t="shared" si="31"/>
        <v>24430</v>
      </c>
      <c r="BE354" s="260">
        <f t="shared" si="32"/>
        <v>84.899999999999011</v>
      </c>
    </row>
    <row r="355" spans="36:57" ht="16.5">
      <c r="AJ355" s="71"/>
      <c r="AK355" s="71"/>
      <c r="AL355" s="84"/>
      <c r="BC355" s="261">
        <f t="shared" si="33"/>
        <v>84.999999999999005</v>
      </c>
      <c r="BD355" s="259">
        <f t="shared" si="31"/>
        <v>24500</v>
      </c>
      <c r="BE355" s="260">
        <f t="shared" si="32"/>
        <v>84.999999999999005</v>
      </c>
    </row>
    <row r="356" spans="36:57" ht="16.5">
      <c r="AJ356" s="71"/>
      <c r="AK356" s="71"/>
      <c r="AL356" s="84"/>
      <c r="BC356" s="261">
        <f t="shared" si="33"/>
        <v>85.099999999999</v>
      </c>
      <c r="BD356" s="259">
        <f t="shared" si="31"/>
        <v>24570</v>
      </c>
      <c r="BE356" s="260">
        <f t="shared" si="32"/>
        <v>85.099999999999</v>
      </c>
    </row>
    <row r="357" spans="36:57" ht="16.5">
      <c r="AJ357" s="71"/>
      <c r="AK357" s="71"/>
      <c r="AL357" s="84"/>
      <c r="BC357" s="261">
        <f t="shared" si="33"/>
        <v>85.199999999998994</v>
      </c>
      <c r="BD357" s="259">
        <f t="shared" si="31"/>
        <v>24640</v>
      </c>
      <c r="BE357" s="260">
        <f t="shared" si="32"/>
        <v>85.199999999998994</v>
      </c>
    </row>
    <row r="358" spans="36:57" ht="16.5">
      <c r="AJ358" s="71"/>
      <c r="AK358" s="71"/>
      <c r="AL358" s="84"/>
      <c r="BC358" s="261">
        <f t="shared" si="33"/>
        <v>85.299999999998988</v>
      </c>
      <c r="BD358" s="259">
        <f t="shared" si="31"/>
        <v>24710</v>
      </c>
      <c r="BE358" s="260">
        <f t="shared" si="32"/>
        <v>85.299999999998988</v>
      </c>
    </row>
    <row r="359" spans="36:57" ht="16.5">
      <c r="AJ359" s="71"/>
      <c r="AK359" s="71"/>
      <c r="AL359" s="84"/>
      <c r="BC359" s="261">
        <f t="shared" si="33"/>
        <v>85.399999999998983</v>
      </c>
      <c r="BD359" s="259">
        <f t="shared" si="31"/>
        <v>24780</v>
      </c>
      <c r="BE359" s="260">
        <f t="shared" si="32"/>
        <v>85.399999999998983</v>
      </c>
    </row>
    <row r="360" spans="36:57" ht="16.5">
      <c r="AJ360" s="71"/>
      <c r="AK360" s="71"/>
      <c r="AL360" s="84"/>
      <c r="BC360" s="261">
        <f t="shared" si="33"/>
        <v>85.499999999998977</v>
      </c>
      <c r="BD360" s="259">
        <f t="shared" si="31"/>
        <v>24850</v>
      </c>
      <c r="BE360" s="260">
        <f t="shared" si="32"/>
        <v>85.499999999998977</v>
      </c>
    </row>
    <row r="361" spans="36:57" ht="16.5">
      <c r="AJ361" s="71"/>
      <c r="AK361" s="71"/>
      <c r="AL361" s="84"/>
      <c r="BC361" s="261">
        <f t="shared" si="33"/>
        <v>85.599999999998971</v>
      </c>
      <c r="BD361" s="259">
        <f t="shared" si="31"/>
        <v>24920</v>
      </c>
      <c r="BE361" s="260">
        <f t="shared" si="32"/>
        <v>85.599999999998971</v>
      </c>
    </row>
    <row r="362" spans="36:57" ht="16.5">
      <c r="AJ362" s="71"/>
      <c r="AK362" s="71"/>
      <c r="AL362" s="84"/>
      <c r="BC362" s="261">
        <f t="shared" si="33"/>
        <v>85.699999999998965</v>
      </c>
      <c r="BD362" s="259">
        <f t="shared" si="31"/>
        <v>24990</v>
      </c>
      <c r="BE362" s="260">
        <f t="shared" si="32"/>
        <v>85.699999999998965</v>
      </c>
    </row>
    <row r="363" spans="36:57" ht="16.5">
      <c r="AJ363" s="71"/>
      <c r="AK363" s="71"/>
      <c r="AL363" s="84"/>
      <c r="BC363" s="261">
        <f t="shared" si="33"/>
        <v>85.79999999999896</v>
      </c>
      <c r="BD363" s="259">
        <f t="shared" si="31"/>
        <v>25060</v>
      </c>
      <c r="BE363" s="260">
        <f t="shared" si="32"/>
        <v>85.79999999999896</v>
      </c>
    </row>
    <row r="364" spans="36:57" ht="16.5">
      <c r="AJ364" s="71"/>
      <c r="AK364" s="71"/>
      <c r="AL364" s="84"/>
      <c r="BC364" s="261">
        <f t="shared" si="33"/>
        <v>85.899999999998954</v>
      </c>
      <c r="BD364" s="259">
        <f t="shared" si="31"/>
        <v>25130</v>
      </c>
      <c r="BE364" s="260">
        <f t="shared" si="32"/>
        <v>85.899999999998954</v>
      </c>
    </row>
    <row r="365" spans="36:57" ht="16.5">
      <c r="AJ365" s="71"/>
      <c r="AK365" s="71"/>
      <c r="AL365" s="84"/>
      <c r="BC365" s="261">
        <f t="shared" si="33"/>
        <v>85.999999999998948</v>
      </c>
      <c r="BD365" s="259">
        <f t="shared" si="31"/>
        <v>25200</v>
      </c>
      <c r="BE365" s="260">
        <f t="shared" si="32"/>
        <v>85.999999999998948</v>
      </c>
    </row>
    <row r="366" spans="36:57" ht="16.5">
      <c r="AJ366" s="71"/>
      <c r="AK366" s="71"/>
      <c r="AL366" s="84"/>
      <c r="BC366" s="261">
        <f t="shared" si="33"/>
        <v>86.099999999998943</v>
      </c>
      <c r="BD366" s="259">
        <f t="shared" si="31"/>
        <v>25270</v>
      </c>
      <c r="BE366" s="260">
        <f t="shared" si="32"/>
        <v>86.099999999998943</v>
      </c>
    </row>
    <row r="367" spans="36:57" ht="16.5">
      <c r="AJ367" s="71"/>
      <c r="AK367" s="71"/>
      <c r="AL367" s="84"/>
      <c r="BC367" s="261">
        <f t="shared" si="33"/>
        <v>86.199999999998937</v>
      </c>
      <c r="BD367" s="259">
        <f t="shared" si="31"/>
        <v>25340</v>
      </c>
      <c r="BE367" s="260">
        <f t="shared" si="32"/>
        <v>86.199999999998937</v>
      </c>
    </row>
    <row r="368" spans="36:57" ht="16.5">
      <c r="AJ368" s="71"/>
      <c r="AK368" s="71"/>
      <c r="AL368" s="84"/>
      <c r="BC368" s="261">
        <f t="shared" si="33"/>
        <v>86.299999999998931</v>
      </c>
      <c r="BD368" s="259">
        <f t="shared" si="31"/>
        <v>25410</v>
      </c>
      <c r="BE368" s="260">
        <f t="shared" si="32"/>
        <v>86.299999999998931</v>
      </c>
    </row>
    <row r="369" spans="36:57" ht="16.5">
      <c r="AJ369" s="71"/>
      <c r="AK369" s="71"/>
      <c r="AL369" s="84"/>
      <c r="BC369" s="261">
        <f t="shared" si="33"/>
        <v>86.399999999998926</v>
      </c>
      <c r="BD369" s="259">
        <f t="shared" si="31"/>
        <v>25480</v>
      </c>
      <c r="BE369" s="260">
        <f t="shared" si="32"/>
        <v>86.399999999998926</v>
      </c>
    </row>
    <row r="370" spans="36:57" ht="16.5">
      <c r="AJ370" s="71"/>
      <c r="AK370" s="71"/>
      <c r="AL370" s="84"/>
      <c r="BC370" s="261">
        <f t="shared" si="33"/>
        <v>86.49999999999892</v>
      </c>
      <c r="BD370" s="259">
        <f t="shared" si="31"/>
        <v>25550</v>
      </c>
      <c r="BE370" s="260">
        <f t="shared" si="32"/>
        <v>86.49999999999892</v>
      </c>
    </row>
    <row r="371" spans="36:57" ht="16.5">
      <c r="AJ371" s="71"/>
      <c r="AK371" s="71"/>
      <c r="AL371" s="84"/>
      <c r="BC371" s="261">
        <f t="shared" si="33"/>
        <v>86.599999999998914</v>
      </c>
      <c r="BD371" s="259">
        <f t="shared" si="31"/>
        <v>25620</v>
      </c>
      <c r="BE371" s="260">
        <f t="shared" si="32"/>
        <v>86.599999999998914</v>
      </c>
    </row>
    <row r="372" spans="36:57" ht="16.5">
      <c r="AJ372" s="71"/>
      <c r="AK372" s="71"/>
      <c r="AL372" s="84"/>
      <c r="BC372" s="261">
        <f t="shared" si="33"/>
        <v>86.699999999998909</v>
      </c>
      <c r="BD372" s="259">
        <f t="shared" si="31"/>
        <v>25690</v>
      </c>
      <c r="BE372" s="260">
        <f t="shared" si="32"/>
        <v>86.699999999998909</v>
      </c>
    </row>
    <row r="373" spans="36:57" ht="16.5">
      <c r="AJ373" s="71"/>
      <c r="AK373" s="71"/>
      <c r="AL373" s="84"/>
      <c r="BC373" s="261">
        <f t="shared" si="33"/>
        <v>86.799999999998903</v>
      </c>
      <c r="BD373" s="259">
        <f t="shared" si="31"/>
        <v>25760</v>
      </c>
      <c r="BE373" s="260">
        <f t="shared" si="32"/>
        <v>86.799999999998903</v>
      </c>
    </row>
    <row r="374" spans="36:57" ht="16.5">
      <c r="AJ374" s="71"/>
      <c r="AK374" s="71"/>
      <c r="AL374" s="84"/>
      <c r="BC374" s="261">
        <f t="shared" si="33"/>
        <v>86.899999999998897</v>
      </c>
      <c r="BD374" s="259">
        <f t="shared" si="31"/>
        <v>25830</v>
      </c>
      <c r="BE374" s="260">
        <f t="shared" si="32"/>
        <v>86.899999999998897</v>
      </c>
    </row>
    <row r="375" spans="36:57" ht="16.5">
      <c r="AJ375" s="71"/>
      <c r="AK375" s="71"/>
      <c r="AL375" s="84"/>
      <c r="BC375" s="261">
        <f t="shared" si="33"/>
        <v>86.999999999998892</v>
      </c>
      <c r="BD375" s="259">
        <f t="shared" si="31"/>
        <v>25900</v>
      </c>
      <c r="BE375" s="260">
        <f t="shared" si="32"/>
        <v>86.999999999998892</v>
      </c>
    </row>
    <row r="376" spans="36:57" ht="16.5">
      <c r="AJ376" s="71"/>
      <c r="AK376" s="71"/>
      <c r="AL376" s="84"/>
      <c r="BC376" s="261">
        <f t="shared" si="33"/>
        <v>87.099999999998886</v>
      </c>
      <c r="BD376" s="259">
        <f t="shared" si="31"/>
        <v>25970</v>
      </c>
      <c r="BE376" s="260">
        <f t="shared" si="32"/>
        <v>87.099999999998886</v>
      </c>
    </row>
    <row r="377" spans="36:57" ht="16.5">
      <c r="AJ377" s="71"/>
      <c r="AK377" s="71"/>
      <c r="AL377" s="84"/>
      <c r="BC377" s="261">
        <f t="shared" si="33"/>
        <v>87.19999999999888</v>
      </c>
      <c r="BD377" s="259">
        <f t="shared" si="31"/>
        <v>26040</v>
      </c>
      <c r="BE377" s="260">
        <f t="shared" si="32"/>
        <v>87.19999999999888</v>
      </c>
    </row>
    <row r="378" spans="36:57" ht="16.5">
      <c r="AJ378" s="71"/>
      <c r="AK378" s="71"/>
      <c r="AL378" s="84"/>
      <c r="BC378" s="261">
        <f t="shared" si="33"/>
        <v>87.299999999998875</v>
      </c>
      <c r="BD378" s="259">
        <f t="shared" si="31"/>
        <v>26110</v>
      </c>
      <c r="BE378" s="260">
        <f t="shared" si="32"/>
        <v>87.299999999998875</v>
      </c>
    </row>
    <row r="379" spans="36:57" ht="16.5">
      <c r="AJ379" s="71"/>
      <c r="AK379" s="71"/>
      <c r="AL379" s="84"/>
      <c r="BC379" s="261">
        <f t="shared" si="33"/>
        <v>87.399999999998869</v>
      </c>
      <c r="BD379" s="259">
        <f t="shared" si="31"/>
        <v>26180</v>
      </c>
      <c r="BE379" s="260">
        <f t="shared" si="32"/>
        <v>87.399999999998869</v>
      </c>
    </row>
    <row r="380" spans="36:57" ht="16.5">
      <c r="AJ380" s="71"/>
      <c r="AK380" s="71"/>
      <c r="AL380" s="84"/>
      <c r="BC380" s="261">
        <f t="shared" si="33"/>
        <v>87.499999999998863</v>
      </c>
      <c r="BD380" s="259">
        <f t="shared" si="31"/>
        <v>26250</v>
      </c>
      <c r="BE380" s="260">
        <f t="shared" si="32"/>
        <v>87.499999999998863</v>
      </c>
    </row>
    <row r="381" spans="36:57" ht="16.5">
      <c r="AJ381" s="71"/>
      <c r="AK381" s="71"/>
      <c r="AL381" s="84"/>
      <c r="BC381" s="261">
        <f t="shared" si="33"/>
        <v>87.599999999998857</v>
      </c>
      <c r="BD381" s="259">
        <f t="shared" si="31"/>
        <v>26320</v>
      </c>
      <c r="BE381" s="260">
        <f t="shared" si="32"/>
        <v>87.599999999998857</v>
      </c>
    </row>
    <row r="382" spans="36:57" ht="16.5">
      <c r="AJ382" s="71"/>
      <c r="AK382" s="71"/>
      <c r="AL382" s="84"/>
      <c r="BC382" s="261">
        <f t="shared" si="33"/>
        <v>87.699999999998852</v>
      </c>
      <c r="BD382" s="259">
        <f t="shared" si="31"/>
        <v>26390</v>
      </c>
      <c r="BE382" s="260">
        <f t="shared" si="32"/>
        <v>87.699999999998852</v>
      </c>
    </row>
    <row r="383" spans="36:57" ht="16.5">
      <c r="AJ383" s="71"/>
      <c r="AK383" s="71"/>
      <c r="AL383" s="84"/>
      <c r="BC383" s="261">
        <f t="shared" si="33"/>
        <v>87.799999999998846</v>
      </c>
      <c r="BD383" s="259">
        <f t="shared" si="31"/>
        <v>26460</v>
      </c>
      <c r="BE383" s="260">
        <f t="shared" si="32"/>
        <v>87.799999999998846</v>
      </c>
    </row>
    <row r="384" spans="36:57" ht="16.5">
      <c r="AJ384" s="71"/>
      <c r="AK384" s="71"/>
      <c r="AL384" s="84"/>
      <c r="BC384" s="261">
        <f t="shared" si="33"/>
        <v>87.89999999999884</v>
      </c>
      <c r="BD384" s="259">
        <f t="shared" si="31"/>
        <v>26530</v>
      </c>
      <c r="BE384" s="260">
        <f t="shared" si="32"/>
        <v>87.89999999999884</v>
      </c>
    </row>
    <row r="385" spans="36:57" ht="16.5">
      <c r="AJ385" s="71"/>
      <c r="AK385" s="71"/>
      <c r="AL385" s="84"/>
      <c r="BC385" s="261">
        <f t="shared" si="33"/>
        <v>87.999999999998835</v>
      </c>
      <c r="BD385" s="259">
        <f t="shared" si="31"/>
        <v>26600</v>
      </c>
      <c r="BE385" s="260">
        <f t="shared" si="32"/>
        <v>87.999999999998835</v>
      </c>
    </row>
    <row r="386" spans="36:57" ht="16.5">
      <c r="AJ386" s="71"/>
      <c r="AK386" s="71"/>
      <c r="AL386" s="84"/>
      <c r="BC386" s="261">
        <f t="shared" si="33"/>
        <v>88.099999999998829</v>
      </c>
      <c r="BD386" s="259">
        <f t="shared" si="31"/>
        <v>26670</v>
      </c>
      <c r="BE386" s="260">
        <f t="shared" si="32"/>
        <v>88.099999999998829</v>
      </c>
    </row>
    <row r="387" spans="36:57" ht="16.5">
      <c r="AJ387" s="71"/>
      <c r="AK387" s="71"/>
      <c r="AL387" s="84"/>
      <c r="BC387" s="261">
        <f t="shared" si="33"/>
        <v>88.199999999998823</v>
      </c>
      <c r="BD387" s="259">
        <f t="shared" si="31"/>
        <v>26740</v>
      </c>
      <c r="BE387" s="260">
        <f t="shared" si="32"/>
        <v>88.199999999998823</v>
      </c>
    </row>
    <row r="388" spans="36:57" ht="16.5">
      <c r="AJ388" s="71"/>
      <c r="AK388" s="71"/>
      <c r="AL388" s="84"/>
      <c r="BC388" s="261">
        <f t="shared" si="33"/>
        <v>88.299999999998818</v>
      </c>
      <c r="BD388" s="259">
        <f t="shared" si="31"/>
        <v>26810</v>
      </c>
      <c r="BE388" s="260">
        <f t="shared" si="32"/>
        <v>88.299999999998818</v>
      </c>
    </row>
    <row r="389" spans="36:57" ht="16.5">
      <c r="AJ389" s="71"/>
      <c r="AK389" s="71"/>
      <c r="AL389" s="84"/>
      <c r="BC389" s="261">
        <f t="shared" si="33"/>
        <v>88.399999999998812</v>
      </c>
      <c r="BD389" s="259">
        <f t="shared" si="31"/>
        <v>26880</v>
      </c>
      <c r="BE389" s="260">
        <f t="shared" si="32"/>
        <v>88.399999999998812</v>
      </c>
    </row>
    <row r="390" spans="36:57" ht="16.5">
      <c r="AJ390" s="71"/>
      <c r="AK390" s="71"/>
      <c r="AL390" s="84"/>
      <c r="BC390" s="261">
        <f t="shared" si="33"/>
        <v>88.499999999998806</v>
      </c>
      <c r="BD390" s="259">
        <f t="shared" ref="BD390:BD453" si="34">BD389+($BD$4/($BB$4*10))</f>
        <v>26950</v>
      </c>
      <c r="BE390" s="260">
        <f t="shared" ref="BE390:BE453" si="35">BC390</f>
        <v>88.499999999998806</v>
      </c>
    </row>
    <row r="391" spans="36:57" ht="16.5">
      <c r="AJ391" s="71"/>
      <c r="AK391" s="71"/>
      <c r="AL391" s="84"/>
      <c r="BC391" s="261">
        <f t="shared" ref="BC391:BC454" si="36">BC390+0.1</f>
        <v>88.599999999998801</v>
      </c>
      <c r="BD391" s="259">
        <f t="shared" si="34"/>
        <v>27020</v>
      </c>
      <c r="BE391" s="260">
        <f t="shared" si="35"/>
        <v>88.599999999998801</v>
      </c>
    </row>
    <row r="392" spans="36:57" ht="16.5">
      <c r="AJ392" s="71"/>
      <c r="AK392" s="71"/>
      <c r="AL392" s="84"/>
      <c r="BC392" s="261">
        <f t="shared" si="36"/>
        <v>88.699999999998795</v>
      </c>
      <c r="BD392" s="259">
        <f t="shared" si="34"/>
        <v>27090</v>
      </c>
      <c r="BE392" s="260">
        <f t="shared" si="35"/>
        <v>88.699999999998795</v>
      </c>
    </row>
    <row r="393" spans="36:57" ht="16.5">
      <c r="AJ393" s="71"/>
      <c r="AK393" s="71"/>
      <c r="AL393" s="84"/>
      <c r="BC393" s="261">
        <f t="shared" si="36"/>
        <v>88.799999999998789</v>
      </c>
      <c r="BD393" s="259">
        <f t="shared" si="34"/>
        <v>27160</v>
      </c>
      <c r="BE393" s="260">
        <f t="shared" si="35"/>
        <v>88.799999999998789</v>
      </c>
    </row>
    <row r="394" spans="36:57" ht="16.5">
      <c r="AJ394" s="71"/>
      <c r="AK394" s="71"/>
      <c r="AL394" s="84"/>
      <c r="BC394" s="261">
        <f t="shared" si="36"/>
        <v>88.899999999998784</v>
      </c>
      <c r="BD394" s="259">
        <f t="shared" si="34"/>
        <v>27230</v>
      </c>
      <c r="BE394" s="260">
        <f t="shared" si="35"/>
        <v>88.899999999998784</v>
      </c>
    </row>
    <row r="395" spans="36:57" ht="16.5">
      <c r="AJ395" s="71"/>
      <c r="AK395" s="71"/>
      <c r="AL395" s="84"/>
      <c r="BC395" s="261">
        <f t="shared" si="36"/>
        <v>88.999999999998778</v>
      </c>
      <c r="BD395" s="259">
        <f t="shared" si="34"/>
        <v>27300</v>
      </c>
      <c r="BE395" s="260">
        <f t="shared" si="35"/>
        <v>88.999999999998778</v>
      </c>
    </row>
    <row r="396" spans="36:57" ht="16.5">
      <c r="AJ396" s="71"/>
      <c r="AK396" s="71"/>
      <c r="AL396" s="84"/>
      <c r="BC396" s="261">
        <f t="shared" si="36"/>
        <v>89.099999999998772</v>
      </c>
      <c r="BD396" s="259">
        <f t="shared" si="34"/>
        <v>27370</v>
      </c>
      <c r="BE396" s="260">
        <f t="shared" si="35"/>
        <v>89.099999999998772</v>
      </c>
    </row>
    <row r="397" spans="36:57" ht="16.5">
      <c r="AJ397" s="71"/>
      <c r="AK397" s="71"/>
      <c r="AL397" s="84"/>
      <c r="BC397" s="261">
        <f t="shared" si="36"/>
        <v>89.199999999998766</v>
      </c>
      <c r="BD397" s="259">
        <f t="shared" si="34"/>
        <v>27440</v>
      </c>
      <c r="BE397" s="260">
        <f t="shared" si="35"/>
        <v>89.199999999998766</v>
      </c>
    </row>
    <row r="398" spans="36:57" ht="16.5">
      <c r="AJ398" s="71"/>
      <c r="AK398" s="71"/>
      <c r="AL398" s="84"/>
      <c r="BC398" s="261">
        <f t="shared" si="36"/>
        <v>89.299999999998761</v>
      </c>
      <c r="BD398" s="259">
        <f t="shared" si="34"/>
        <v>27510</v>
      </c>
      <c r="BE398" s="260">
        <f t="shared" si="35"/>
        <v>89.299999999998761</v>
      </c>
    </row>
    <row r="399" spans="36:57" ht="16.5">
      <c r="AJ399" s="71"/>
      <c r="AK399" s="71"/>
      <c r="AL399" s="84"/>
      <c r="BC399" s="261">
        <f t="shared" si="36"/>
        <v>89.399999999998755</v>
      </c>
      <c r="BD399" s="259">
        <f t="shared" si="34"/>
        <v>27580</v>
      </c>
      <c r="BE399" s="260">
        <f t="shared" si="35"/>
        <v>89.399999999998755</v>
      </c>
    </row>
    <row r="400" spans="36:57" ht="16.5">
      <c r="AJ400" s="71"/>
      <c r="AK400" s="71"/>
      <c r="AL400" s="84"/>
      <c r="BC400" s="261">
        <f t="shared" si="36"/>
        <v>89.499999999998749</v>
      </c>
      <c r="BD400" s="259">
        <f t="shared" si="34"/>
        <v>27650</v>
      </c>
      <c r="BE400" s="260">
        <f t="shared" si="35"/>
        <v>89.499999999998749</v>
      </c>
    </row>
    <row r="401" spans="36:57" ht="16.5">
      <c r="AJ401" s="71"/>
      <c r="AK401" s="71"/>
      <c r="AL401" s="84"/>
      <c r="BC401" s="261">
        <f t="shared" si="36"/>
        <v>89.599999999998744</v>
      </c>
      <c r="BD401" s="259">
        <f t="shared" si="34"/>
        <v>27720</v>
      </c>
      <c r="BE401" s="260">
        <f t="shared" si="35"/>
        <v>89.599999999998744</v>
      </c>
    </row>
    <row r="402" spans="36:57" ht="16.5">
      <c r="AJ402" s="71"/>
      <c r="AK402" s="71"/>
      <c r="AL402" s="84"/>
      <c r="BC402" s="261">
        <f t="shared" si="36"/>
        <v>89.699999999998738</v>
      </c>
      <c r="BD402" s="259">
        <f t="shared" si="34"/>
        <v>27790</v>
      </c>
      <c r="BE402" s="260">
        <f t="shared" si="35"/>
        <v>89.699999999998738</v>
      </c>
    </row>
    <row r="403" spans="36:57" ht="16.5">
      <c r="AJ403" s="71"/>
      <c r="AK403" s="71"/>
      <c r="AL403" s="84"/>
      <c r="BC403" s="261">
        <f t="shared" si="36"/>
        <v>89.799999999998732</v>
      </c>
      <c r="BD403" s="259">
        <f t="shared" si="34"/>
        <v>27860</v>
      </c>
      <c r="BE403" s="260">
        <f t="shared" si="35"/>
        <v>89.799999999998732</v>
      </c>
    </row>
    <row r="404" spans="36:57" ht="16.5">
      <c r="AJ404" s="71"/>
      <c r="AK404" s="71"/>
      <c r="AL404" s="84"/>
      <c r="BC404" s="261">
        <f t="shared" si="36"/>
        <v>89.899999999998727</v>
      </c>
      <c r="BD404" s="259">
        <f t="shared" si="34"/>
        <v>27930</v>
      </c>
      <c r="BE404" s="260">
        <f t="shared" si="35"/>
        <v>89.899999999998727</v>
      </c>
    </row>
    <row r="405" spans="36:57" ht="16.5">
      <c r="AJ405" s="71"/>
      <c r="AK405" s="71"/>
      <c r="AL405" s="84"/>
      <c r="BC405" s="261">
        <f t="shared" si="36"/>
        <v>89.999999999998721</v>
      </c>
      <c r="BD405" s="259">
        <f t="shared" si="34"/>
        <v>28000</v>
      </c>
      <c r="BE405" s="260">
        <f t="shared" si="35"/>
        <v>89.999999999998721</v>
      </c>
    </row>
    <row r="406" spans="36:57" ht="16.5">
      <c r="AJ406" s="71"/>
      <c r="AK406" s="71"/>
      <c r="AL406" s="84"/>
      <c r="BC406" s="261">
        <f t="shared" si="36"/>
        <v>90.099999999998715</v>
      </c>
      <c r="BD406" s="259">
        <f t="shared" si="34"/>
        <v>28070</v>
      </c>
      <c r="BE406" s="260">
        <f t="shared" si="35"/>
        <v>90.099999999998715</v>
      </c>
    </row>
    <row r="407" spans="36:57" ht="16.5">
      <c r="AJ407" s="71"/>
      <c r="AK407" s="71"/>
      <c r="AL407" s="84"/>
      <c r="BC407" s="261">
        <f t="shared" si="36"/>
        <v>90.19999999999871</v>
      </c>
      <c r="BD407" s="259">
        <f t="shared" si="34"/>
        <v>28140</v>
      </c>
      <c r="BE407" s="260">
        <f t="shared" si="35"/>
        <v>90.19999999999871</v>
      </c>
    </row>
    <row r="408" spans="36:57" ht="16.5">
      <c r="AJ408" s="71"/>
      <c r="AK408" s="71"/>
      <c r="AL408" s="84"/>
      <c r="BC408" s="261">
        <f t="shared" si="36"/>
        <v>90.299999999998704</v>
      </c>
      <c r="BD408" s="259">
        <f t="shared" si="34"/>
        <v>28210</v>
      </c>
      <c r="BE408" s="260">
        <f t="shared" si="35"/>
        <v>90.299999999998704</v>
      </c>
    </row>
    <row r="409" spans="36:57" ht="16.5">
      <c r="AJ409" s="71"/>
      <c r="AK409" s="71"/>
      <c r="AL409" s="84"/>
      <c r="BC409" s="261">
        <f t="shared" si="36"/>
        <v>90.399999999998698</v>
      </c>
      <c r="BD409" s="259">
        <f t="shared" si="34"/>
        <v>28280</v>
      </c>
      <c r="BE409" s="260">
        <f t="shared" si="35"/>
        <v>90.399999999998698</v>
      </c>
    </row>
    <row r="410" spans="36:57" ht="16.5">
      <c r="AJ410" s="71"/>
      <c r="AK410" s="71"/>
      <c r="AL410" s="84"/>
      <c r="BC410" s="261">
        <f t="shared" si="36"/>
        <v>90.499999999998693</v>
      </c>
      <c r="BD410" s="259">
        <f t="shared" si="34"/>
        <v>28350</v>
      </c>
      <c r="BE410" s="260">
        <f t="shared" si="35"/>
        <v>90.499999999998693</v>
      </c>
    </row>
    <row r="411" spans="36:57" ht="16.5">
      <c r="AJ411" s="71"/>
      <c r="AK411" s="71"/>
      <c r="AL411" s="84"/>
      <c r="BC411" s="261">
        <f t="shared" si="36"/>
        <v>90.599999999998687</v>
      </c>
      <c r="BD411" s="259">
        <f t="shared" si="34"/>
        <v>28420</v>
      </c>
      <c r="BE411" s="260">
        <f t="shared" si="35"/>
        <v>90.599999999998687</v>
      </c>
    </row>
    <row r="412" spans="36:57" ht="16.5">
      <c r="AJ412" s="71"/>
      <c r="AK412" s="71"/>
      <c r="AL412" s="84"/>
      <c r="BC412" s="261">
        <f t="shared" si="36"/>
        <v>90.699999999998681</v>
      </c>
      <c r="BD412" s="259">
        <f t="shared" si="34"/>
        <v>28490</v>
      </c>
      <c r="BE412" s="260">
        <f t="shared" si="35"/>
        <v>90.699999999998681</v>
      </c>
    </row>
    <row r="413" spans="36:57" ht="16.5">
      <c r="AJ413" s="71"/>
      <c r="AK413" s="71"/>
      <c r="AL413" s="84"/>
      <c r="BC413" s="261">
        <f t="shared" si="36"/>
        <v>90.799999999998676</v>
      </c>
      <c r="BD413" s="259">
        <f t="shared" si="34"/>
        <v>28560</v>
      </c>
      <c r="BE413" s="260">
        <f t="shared" si="35"/>
        <v>90.799999999998676</v>
      </c>
    </row>
    <row r="414" spans="36:57" ht="16.5">
      <c r="AJ414" s="71"/>
      <c r="AK414" s="71"/>
      <c r="AL414" s="84"/>
      <c r="BC414" s="261">
        <f t="shared" si="36"/>
        <v>90.89999999999867</v>
      </c>
      <c r="BD414" s="259">
        <f t="shared" si="34"/>
        <v>28630</v>
      </c>
      <c r="BE414" s="260">
        <f t="shared" si="35"/>
        <v>90.89999999999867</v>
      </c>
    </row>
    <row r="415" spans="36:57" ht="16.5">
      <c r="AJ415" s="71"/>
      <c r="AK415" s="71"/>
      <c r="AL415" s="84"/>
      <c r="BC415" s="261">
        <f t="shared" si="36"/>
        <v>90.999999999998664</v>
      </c>
      <c r="BD415" s="259">
        <f t="shared" si="34"/>
        <v>28700</v>
      </c>
      <c r="BE415" s="260">
        <f t="shared" si="35"/>
        <v>90.999999999998664</v>
      </c>
    </row>
    <row r="416" spans="36:57" ht="16.5">
      <c r="AJ416" s="71"/>
      <c r="AK416" s="71"/>
      <c r="AL416" s="84"/>
      <c r="BC416" s="261">
        <f t="shared" si="36"/>
        <v>91.099999999998658</v>
      </c>
      <c r="BD416" s="259">
        <f t="shared" si="34"/>
        <v>28770</v>
      </c>
      <c r="BE416" s="260">
        <f t="shared" si="35"/>
        <v>91.099999999998658</v>
      </c>
    </row>
    <row r="417" spans="36:57" ht="16.5">
      <c r="AJ417" s="71"/>
      <c r="AK417" s="71"/>
      <c r="AL417" s="84"/>
      <c r="BC417" s="261">
        <f t="shared" si="36"/>
        <v>91.199999999998653</v>
      </c>
      <c r="BD417" s="259">
        <f t="shared" si="34"/>
        <v>28840</v>
      </c>
      <c r="BE417" s="260">
        <f t="shared" si="35"/>
        <v>91.199999999998653</v>
      </c>
    </row>
    <row r="418" spans="36:57" ht="16.5">
      <c r="AJ418" s="71"/>
      <c r="AK418" s="71"/>
      <c r="AL418" s="84"/>
      <c r="BC418" s="261">
        <f t="shared" si="36"/>
        <v>91.299999999998647</v>
      </c>
      <c r="BD418" s="259">
        <f t="shared" si="34"/>
        <v>28910</v>
      </c>
      <c r="BE418" s="260">
        <f t="shared" si="35"/>
        <v>91.299999999998647</v>
      </c>
    </row>
    <row r="419" spans="36:57" ht="16.5">
      <c r="AJ419" s="71"/>
      <c r="AK419" s="71"/>
      <c r="AL419" s="84"/>
      <c r="BC419" s="261">
        <f t="shared" si="36"/>
        <v>91.399999999998641</v>
      </c>
      <c r="BD419" s="259">
        <f t="shared" si="34"/>
        <v>28980</v>
      </c>
      <c r="BE419" s="260">
        <f t="shared" si="35"/>
        <v>91.399999999998641</v>
      </c>
    </row>
    <row r="420" spans="36:57" ht="16.5">
      <c r="AJ420" s="71"/>
      <c r="AK420" s="71"/>
      <c r="AL420" s="84"/>
      <c r="BC420" s="261">
        <f t="shared" si="36"/>
        <v>91.499999999998636</v>
      </c>
      <c r="BD420" s="259">
        <f t="shared" si="34"/>
        <v>29050</v>
      </c>
      <c r="BE420" s="260">
        <f t="shared" si="35"/>
        <v>91.499999999998636</v>
      </c>
    </row>
    <row r="421" spans="36:57" ht="16.5">
      <c r="AJ421" s="71"/>
      <c r="AK421" s="71"/>
      <c r="AL421" s="84"/>
      <c r="BC421" s="261">
        <f t="shared" si="36"/>
        <v>91.59999999999863</v>
      </c>
      <c r="BD421" s="259">
        <f t="shared" si="34"/>
        <v>29120</v>
      </c>
      <c r="BE421" s="260">
        <f t="shared" si="35"/>
        <v>91.59999999999863</v>
      </c>
    </row>
    <row r="422" spans="36:57" ht="16.5">
      <c r="AJ422" s="71"/>
      <c r="AK422" s="71"/>
      <c r="AL422" s="84"/>
      <c r="BC422" s="261">
        <f t="shared" si="36"/>
        <v>91.699999999998624</v>
      </c>
      <c r="BD422" s="259">
        <f t="shared" si="34"/>
        <v>29190</v>
      </c>
      <c r="BE422" s="260">
        <f t="shared" si="35"/>
        <v>91.699999999998624</v>
      </c>
    </row>
    <row r="423" spans="36:57" ht="16.5">
      <c r="AJ423" s="71"/>
      <c r="AK423" s="71"/>
      <c r="AL423" s="84"/>
      <c r="BC423" s="261">
        <f t="shared" si="36"/>
        <v>91.799999999998619</v>
      </c>
      <c r="BD423" s="259">
        <f t="shared" si="34"/>
        <v>29260</v>
      </c>
      <c r="BE423" s="260">
        <f t="shared" si="35"/>
        <v>91.799999999998619</v>
      </c>
    </row>
    <row r="424" spans="36:57" ht="16.5">
      <c r="AJ424" s="71"/>
      <c r="AK424" s="71"/>
      <c r="AL424" s="84"/>
      <c r="BC424" s="261">
        <f t="shared" si="36"/>
        <v>91.899999999998613</v>
      </c>
      <c r="BD424" s="259">
        <f t="shared" si="34"/>
        <v>29330</v>
      </c>
      <c r="BE424" s="260">
        <f t="shared" si="35"/>
        <v>91.899999999998613</v>
      </c>
    </row>
    <row r="425" spans="36:57" ht="16.5">
      <c r="AJ425" s="71"/>
      <c r="AK425" s="71"/>
      <c r="AL425" s="84"/>
      <c r="BC425" s="261">
        <f t="shared" si="36"/>
        <v>91.999999999998607</v>
      </c>
      <c r="BD425" s="259">
        <f t="shared" si="34"/>
        <v>29400</v>
      </c>
      <c r="BE425" s="260">
        <f t="shared" si="35"/>
        <v>91.999999999998607</v>
      </c>
    </row>
    <row r="426" spans="36:57" ht="16.5">
      <c r="AJ426" s="71"/>
      <c r="AK426" s="71"/>
      <c r="AL426" s="84"/>
      <c r="BC426" s="261">
        <f t="shared" si="36"/>
        <v>92.099999999998602</v>
      </c>
      <c r="BD426" s="259">
        <f t="shared" si="34"/>
        <v>29470</v>
      </c>
      <c r="BE426" s="260">
        <f t="shared" si="35"/>
        <v>92.099999999998602</v>
      </c>
    </row>
    <row r="427" spans="36:57" ht="16.5">
      <c r="AJ427" s="71"/>
      <c r="AK427" s="71"/>
      <c r="AL427" s="84"/>
      <c r="BC427" s="261">
        <f t="shared" si="36"/>
        <v>92.199999999998596</v>
      </c>
      <c r="BD427" s="259">
        <f t="shared" si="34"/>
        <v>29540</v>
      </c>
      <c r="BE427" s="260">
        <f t="shared" si="35"/>
        <v>92.199999999998596</v>
      </c>
    </row>
    <row r="428" spans="36:57" ht="16.5">
      <c r="AJ428" s="71"/>
      <c r="AK428" s="71"/>
      <c r="AL428" s="84"/>
      <c r="BC428" s="261">
        <f t="shared" si="36"/>
        <v>92.29999999999859</v>
      </c>
      <c r="BD428" s="259">
        <f t="shared" si="34"/>
        <v>29610</v>
      </c>
      <c r="BE428" s="260">
        <f t="shared" si="35"/>
        <v>92.29999999999859</v>
      </c>
    </row>
    <row r="429" spans="36:57" ht="16.5">
      <c r="AJ429" s="71"/>
      <c r="AK429" s="71"/>
      <c r="AL429" s="84"/>
      <c r="BC429" s="261">
        <f t="shared" si="36"/>
        <v>92.399999999998585</v>
      </c>
      <c r="BD429" s="259">
        <f t="shared" si="34"/>
        <v>29680</v>
      </c>
      <c r="BE429" s="260">
        <f t="shared" si="35"/>
        <v>92.399999999998585</v>
      </c>
    </row>
    <row r="430" spans="36:57" ht="16.5">
      <c r="AJ430" s="71"/>
      <c r="AK430" s="71"/>
      <c r="AL430" s="84"/>
      <c r="BC430" s="261">
        <f t="shared" si="36"/>
        <v>92.499999999998579</v>
      </c>
      <c r="BD430" s="259">
        <f t="shared" si="34"/>
        <v>29750</v>
      </c>
      <c r="BE430" s="260">
        <f t="shared" si="35"/>
        <v>92.499999999998579</v>
      </c>
    </row>
    <row r="431" spans="36:57" ht="16.5">
      <c r="AJ431" s="71"/>
      <c r="AK431" s="71"/>
      <c r="AL431" s="84"/>
      <c r="BC431" s="261">
        <f t="shared" si="36"/>
        <v>92.599999999998573</v>
      </c>
      <c r="BD431" s="259">
        <f t="shared" si="34"/>
        <v>29820</v>
      </c>
      <c r="BE431" s="260">
        <f t="shared" si="35"/>
        <v>92.599999999998573</v>
      </c>
    </row>
    <row r="432" spans="36:57" ht="16.5">
      <c r="AJ432" s="71"/>
      <c r="AK432" s="71"/>
      <c r="AL432" s="84"/>
      <c r="BC432" s="261">
        <f t="shared" si="36"/>
        <v>92.699999999998568</v>
      </c>
      <c r="BD432" s="259">
        <f t="shared" si="34"/>
        <v>29890</v>
      </c>
      <c r="BE432" s="260">
        <f t="shared" si="35"/>
        <v>92.699999999998568</v>
      </c>
    </row>
    <row r="433" spans="36:57" ht="16.5">
      <c r="AJ433" s="71"/>
      <c r="AK433" s="71"/>
      <c r="AL433" s="84"/>
      <c r="BC433" s="261">
        <f t="shared" si="36"/>
        <v>92.799999999998562</v>
      </c>
      <c r="BD433" s="259">
        <f t="shared" si="34"/>
        <v>29960</v>
      </c>
      <c r="BE433" s="260">
        <f t="shared" si="35"/>
        <v>92.799999999998562</v>
      </c>
    </row>
    <row r="434" spans="36:57" ht="16.5">
      <c r="AJ434" s="71"/>
      <c r="AK434" s="71"/>
      <c r="AL434" s="84"/>
      <c r="BC434" s="261">
        <f t="shared" si="36"/>
        <v>92.899999999998556</v>
      </c>
      <c r="BD434" s="259">
        <f t="shared" si="34"/>
        <v>30030</v>
      </c>
      <c r="BE434" s="260">
        <f t="shared" si="35"/>
        <v>92.899999999998556</v>
      </c>
    </row>
    <row r="435" spans="36:57" ht="16.5">
      <c r="AJ435" s="71"/>
      <c r="AK435" s="71"/>
      <c r="AL435" s="84"/>
      <c r="BC435" s="261">
        <f t="shared" si="36"/>
        <v>92.99999999999855</v>
      </c>
      <c r="BD435" s="259">
        <f t="shared" si="34"/>
        <v>30100</v>
      </c>
      <c r="BE435" s="260">
        <f t="shared" si="35"/>
        <v>92.99999999999855</v>
      </c>
    </row>
    <row r="436" spans="36:57" ht="16.5">
      <c r="AJ436" s="71"/>
      <c r="AK436" s="71"/>
      <c r="AL436" s="84"/>
      <c r="BC436" s="261">
        <f t="shared" si="36"/>
        <v>93.099999999998545</v>
      </c>
      <c r="BD436" s="259">
        <f t="shared" si="34"/>
        <v>30170</v>
      </c>
      <c r="BE436" s="260">
        <f t="shared" si="35"/>
        <v>93.099999999998545</v>
      </c>
    </row>
    <row r="437" spans="36:57" ht="16.5">
      <c r="AJ437" s="71"/>
      <c r="AK437" s="71"/>
      <c r="AL437" s="84"/>
      <c r="BC437" s="261">
        <f t="shared" si="36"/>
        <v>93.199999999998539</v>
      </c>
      <c r="BD437" s="259">
        <f t="shared" si="34"/>
        <v>30240</v>
      </c>
      <c r="BE437" s="260">
        <f t="shared" si="35"/>
        <v>93.199999999998539</v>
      </c>
    </row>
    <row r="438" spans="36:57" ht="16.5">
      <c r="AJ438" s="71"/>
      <c r="AK438" s="71"/>
      <c r="AL438" s="84"/>
      <c r="BC438" s="261">
        <f t="shared" si="36"/>
        <v>93.299999999998533</v>
      </c>
      <c r="BD438" s="259">
        <f t="shared" si="34"/>
        <v>30310</v>
      </c>
      <c r="BE438" s="260">
        <f t="shared" si="35"/>
        <v>93.299999999998533</v>
      </c>
    </row>
    <row r="439" spans="36:57" ht="16.5">
      <c r="AJ439" s="71"/>
      <c r="AK439" s="71"/>
      <c r="AL439" s="84"/>
      <c r="BC439" s="261">
        <f t="shared" si="36"/>
        <v>93.399999999998528</v>
      </c>
      <c r="BD439" s="259">
        <f t="shared" si="34"/>
        <v>30380</v>
      </c>
      <c r="BE439" s="260">
        <f t="shared" si="35"/>
        <v>93.399999999998528</v>
      </c>
    </row>
    <row r="440" spans="36:57" ht="16.5">
      <c r="AJ440" s="71"/>
      <c r="AK440" s="71"/>
      <c r="AL440" s="84"/>
      <c r="BC440" s="261">
        <f t="shared" si="36"/>
        <v>93.499999999998522</v>
      </c>
      <c r="BD440" s="259">
        <f t="shared" si="34"/>
        <v>30450</v>
      </c>
      <c r="BE440" s="260">
        <f t="shared" si="35"/>
        <v>93.499999999998522</v>
      </c>
    </row>
    <row r="441" spans="36:57" ht="16.5">
      <c r="AJ441" s="71"/>
      <c r="AK441" s="71"/>
      <c r="AL441" s="84"/>
      <c r="BC441" s="261">
        <f t="shared" si="36"/>
        <v>93.599999999998516</v>
      </c>
      <c r="BD441" s="259">
        <f t="shared" si="34"/>
        <v>30520</v>
      </c>
      <c r="BE441" s="260">
        <f t="shared" si="35"/>
        <v>93.599999999998516</v>
      </c>
    </row>
    <row r="442" spans="36:57" ht="16.5">
      <c r="AJ442" s="71"/>
      <c r="AK442" s="71"/>
      <c r="AL442" s="84"/>
      <c r="BC442" s="261">
        <f t="shared" si="36"/>
        <v>93.699999999998511</v>
      </c>
      <c r="BD442" s="259">
        <f t="shared" si="34"/>
        <v>30590</v>
      </c>
      <c r="BE442" s="260">
        <f t="shared" si="35"/>
        <v>93.699999999998511</v>
      </c>
    </row>
    <row r="443" spans="36:57" ht="16.5">
      <c r="AJ443" s="71"/>
      <c r="AK443" s="71"/>
      <c r="AL443" s="84"/>
      <c r="BC443" s="261">
        <f t="shared" si="36"/>
        <v>93.799999999998505</v>
      </c>
      <c r="BD443" s="259">
        <f t="shared" si="34"/>
        <v>30660</v>
      </c>
      <c r="BE443" s="260">
        <f t="shared" si="35"/>
        <v>93.799999999998505</v>
      </c>
    </row>
    <row r="444" spans="36:57" ht="16.5">
      <c r="AJ444" s="71"/>
      <c r="AK444" s="71"/>
      <c r="AL444" s="84"/>
      <c r="BC444" s="261">
        <f t="shared" si="36"/>
        <v>93.899999999998499</v>
      </c>
      <c r="BD444" s="259">
        <f t="shared" si="34"/>
        <v>30730</v>
      </c>
      <c r="BE444" s="260">
        <f t="shared" si="35"/>
        <v>93.899999999998499</v>
      </c>
    </row>
    <row r="445" spans="36:57" ht="16.5">
      <c r="AJ445" s="71"/>
      <c r="AK445" s="71"/>
      <c r="AL445" s="84"/>
      <c r="BC445" s="261">
        <f t="shared" si="36"/>
        <v>93.999999999998494</v>
      </c>
      <c r="BD445" s="259">
        <f t="shared" si="34"/>
        <v>30800</v>
      </c>
      <c r="BE445" s="260">
        <f t="shared" si="35"/>
        <v>93.999999999998494</v>
      </c>
    </row>
    <row r="446" spans="36:57" ht="16.5">
      <c r="AJ446" s="71"/>
      <c r="AK446" s="71"/>
      <c r="AL446" s="84"/>
      <c r="BC446" s="261">
        <f t="shared" si="36"/>
        <v>94.099999999998488</v>
      </c>
      <c r="BD446" s="259">
        <f t="shared" si="34"/>
        <v>30870</v>
      </c>
      <c r="BE446" s="260">
        <f t="shared" si="35"/>
        <v>94.099999999998488</v>
      </c>
    </row>
    <row r="447" spans="36:57" ht="16.5">
      <c r="AJ447" s="71"/>
      <c r="AK447" s="71"/>
      <c r="AL447" s="84"/>
      <c r="BC447" s="261">
        <f t="shared" si="36"/>
        <v>94.199999999998482</v>
      </c>
      <c r="BD447" s="259">
        <f t="shared" si="34"/>
        <v>30940</v>
      </c>
      <c r="BE447" s="260">
        <f t="shared" si="35"/>
        <v>94.199999999998482</v>
      </c>
    </row>
    <row r="448" spans="36:57" ht="16.5">
      <c r="AJ448" s="71"/>
      <c r="AK448" s="71"/>
      <c r="AL448" s="84"/>
      <c r="BC448" s="261">
        <f t="shared" si="36"/>
        <v>94.299999999998477</v>
      </c>
      <c r="BD448" s="259">
        <f t="shared" si="34"/>
        <v>31010</v>
      </c>
      <c r="BE448" s="260">
        <f t="shared" si="35"/>
        <v>94.299999999998477</v>
      </c>
    </row>
    <row r="449" spans="36:57" ht="16.5">
      <c r="AJ449" s="71"/>
      <c r="AK449" s="71"/>
      <c r="AL449" s="84"/>
      <c r="BC449" s="261">
        <f t="shared" si="36"/>
        <v>94.399999999998471</v>
      </c>
      <c r="BD449" s="259">
        <f t="shared" si="34"/>
        <v>31080</v>
      </c>
      <c r="BE449" s="260">
        <f t="shared" si="35"/>
        <v>94.399999999998471</v>
      </c>
    </row>
    <row r="450" spans="36:57" ht="16.5">
      <c r="AJ450" s="71"/>
      <c r="AK450" s="71"/>
      <c r="AL450" s="84"/>
      <c r="BC450" s="261">
        <f t="shared" si="36"/>
        <v>94.499999999998465</v>
      </c>
      <c r="BD450" s="259">
        <f t="shared" si="34"/>
        <v>31150</v>
      </c>
      <c r="BE450" s="260">
        <f t="shared" si="35"/>
        <v>94.499999999998465</v>
      </c>
    </row>
    <row r="451" spans="36:57" ht="16.5">
      <c r="AJ451" s="71"/>
      <c r="AK451" s="71"/>
      <c r="AL451" s="84"/>
      <c r="BC451" s="261">
        <f t="shared" si="36"/>
        <v>94.59999999999846</v>
      </c>
      <c r="BD451" s="259">
        <f t="shared" si="34"/>
        <v>31220</v>
      </c>
      <c r="BE451" s="260">
        <f t="shared" si="35"/>
        <v>94.59999999999846</v>
      </c>
    </row>
    <row r="452" spans="36:57" ht="16.5">
      <c r="AJ452" s="71"/>
      <c r="AK452" s="71"/>
      <c r="AL452" s="84"/>
      <c r="BC452" s="261">
        <f t="shared" si="36"/>
        <v>94.699999999998454</v>
      </c>
      <c r="BD452" s="259">
        <f t="shared" si="34"/>
        <v>31290</v>
      </c>
      <c r="BE452" s="260">
        <f t="shared" si="35"/>
        <v>94.699999999998454</v>
      </c>
    </row>
    <row r="453" spans="36:57" ht="16.5">
      <c r="AJ453" s="71"/>
      <c r="AK453" s="71"/>
      <c r="AL453" s="84"/>
      <c r="BC453" s="261">
        <f t="shared" si="36"/>
        <v>94.799999999998448</v>
      </c>
      <c r="BD453" s="259">
        <f t="shared" si="34"/>
        <v>31360</v>
      </c>
      <c r="BE453" s="260">
        <f t="shared" si="35"/>
        <v>94.799999999998448</v>
      </c>
    </row>
    <row r="454" spans="36:57" ht="16.5">
      <c r="AJ454" s="71"/>
      <c r="AK454" s="71"/>
      <c r="AL454" s="84"/>
      <c r="BC454" s="261">
        <f t="shared" si="36"/>
        <v>94.899999999998442</v>
      </c>
      <c r="BD454" s="259">
        <f t="shared" ref="BD454:BD517" si="37">BD453+($BD$4/($BB$4*10))</f>
        <v>31430</v>
      </c>
      <c r="BE454" s="260">
        <f t="shared" ref="BE454:BE517" si="38">BC454</f>
        <v>94.899999999998442</v>
      </c>
    </row>
    <row r="455" spans="36:57" ht="16.5">
      <c r="AJ455" s="71"/>
      <c r="AK455" s="71"/>
      <c r="AL455" s="84"/>
      <c r="BC455" s="261">
        <f t="shared" ref="BC455:BC518" si="39">BC454+0.1</f>
        <v>94.999999999998437</v>
      </c>
      <c r="BD455" s="259">
        <f t="shared" si="37"/>
        <v>31500</v>
      </c>
      <c r="BE455" s="260">
        <f t="shared" si="38"/>
        <v>94.999999999998437</v>
      </c>
    </row>
    <row r="456" spans="36:57" ht="16.5">
      <c r="AJ456" s="71"/>
      <c r="AK456" s="71"/>
      <c r="AL456" s="84"/>
      <c r="BC456" s="261">
        <f t="shared" si="39"/>
        <v>95.099999999998431</v>
      </c>
      <c r="BD456" s="259">
        <f t="shared" si="37"/>
        <v>31570</v>
      </c>
      <c r="BE456" s="260">
        <f t="shared" si="38"/>
        <v>95.099999999998431</v>
      </c>
    </row>
    <row r="457" spans="36:57" ht="16.5">
      <c r="AJ457" s="71"/>
      <c r="AK457" s="71"/>
      <c r="AL457" s="84"/>
      <c r="BC457" s="261">
        <f t="shared" si="39"/>
        <v>95.199999999998425</v>
      </c>
      <c r="BD457" s="259">
        <f t="shared" si="37"/>
        <v>31640</v>
      </c>
      <c r="BE457" s="260">
        <f t="shared" si="38"/>
        <v>95.199999999998425</v>
      </c>
    </row>
    <row r="458" spans="36:57" ht="16.5">
      <c r="AJ458" s="71"/>
      <c r="AK458" s="71"/>
      <c r="AL458" s="84"/>
      <c r="BC458" s="261">
        <f t="shared" si="39"/>
        <v>95.29999999999842</v>
      </c>
      <c r="BD458" s="259">
        <f t="shared" si="37"/>
        <v>31710</v>
      </c>
      <c r="BE458" s="260">
        <f t="shared" si="38"/>
        <v>95.29999999999842</v>
      </c>
    </row>
    <row r="459" spans="36:57" ht="16.5">
      <c r="AJ459" s="71"/>
      <c r="AK459" s="71"/>
      <c r="AL459" s="84"/>
      <c r="BC459" s="261">
        <f t="shared" si="39"/>
        <v>95.399999999998414</v>
      </c>
      <c r="BD459" s="259">
        <f t="shared" si="37"/>
        <v>31780</v>
      </c>
      <c r="BE459" s="260">
        <f t="shared" si="38"/>
        <v>95.399999999998414</v>
      </c>
    </row>
    <row r="460" spans="36:57" ht="16.5">
      <c r="AJ460" s="71"/>
      <c r="AK460" s="71"/>
      <c r="AL460" s="84"/>
      <c r="BC460" s="261">
        <f t="shared" si="39"/>
        <v>95.499999999998408</v>
      </c>
      <c r="BD460" s="259">
        <f t="shared" si="37"/>
        <v>31850</v>
      </c>
      <c r="BE460" s="260">
        <f t="shared" si="38"/>
        <v>95.499999999998408</v>
      </c>
    </row>
    <row r="461" spans="36:57" ht="16.5">
      <c r="AJ461" s="71"/>
      <c r="AK461" s="71"/>
      <c r="AL461" s="84"/>
      <c r="BC461" s="261">
        <f t="shared" si="39"/>
        <v>95.599999999998403</v>
      </c>
      <c r="BD461" s="259">
        <f t="shared" si="37"/>
        <v>31920</v>
      </c>
      <c r="BE461" s="260">
        <f t="shared" si="38"/>
        <v>95.599999999998403</v>
      </c>
    </row>
    <row r="462" spans="36:57" ht="16.5">
      <c r="AJ462" s="71"/>
      <c r="AK462" s="71"/>
      <c r="AL462" s="84"/>
      <c r="BC462" s="261">
        <f t="shared" si="39"/>
        <v>95.699999999998397</v>
      </c>
      <c r="BD462" s="259">
        <f t="shared" si="37"/>
        <v>31990</v>
      </c>
      <c r="BE462" s="260">
        <f t="shared" si="38"/>
        <v>95.699999999998397</v>
      </c>
    </row>
    <row r="463" spans="36:57" ht="16.5">
      <c r="AJ463" s="71"/>
      <c r="AK463" s="71"/>
      <c r="AL463" s="84"/>
      <c r="BC463" s="261">
        <f t="shared" si="39"/>
        <v>95.799999999998391</v>
      </c>
      <c r="BD463" s="259">
        <f t="shared" si="37"/>
        <v>32060</v>
      </c>
      <c r="BE463" s="260">
        <f t="shared" si="38"/>
        <v>95.799999999998391</v>
      </c>
    </row>
    <row r="464" spans="36:57" ht="16.5">
      <c r="AJ464" s="71"/>
      <c r="AK464" s="71"/>
      <c r="AL464" s="84"/>
      <c r="BC464" s="261">
        <f t="shared" si="39"/>
        <v>95.899999999998386</v>
      </c>
      <c r="BD464" s="259">
        <f t="shared" si="37"/>
        <v>32130</v>
      </c>
      <c r="BE464" s="260">
        <f t="shared" si="38"/>
        <v>95.899999999998386</v>
      </c>
    </row>
    <row r="465" spans="36:57" ht="16.5">
      <c r="AJ465" s="71"/>
      <c r="AK465" s="71"/>
      <c r="AL465" s="84"/>
      <c r="BC465" s="261">
        <f t="shared" si="39"/>
        <v>95.99999999999838</v>
      </c>
      <c r="BD465" s="259">
        <f t="shared" si="37"/>
        <v>32200</v>
      </c>
      <c r="BE465" s="260">
        <f t="shared" si="38"/>
        <v>95.99999999999838</v>
      </c>
    </row>
    <row r="466" spans="36:57" ht="16.5">
      <c r="AJ466" s="71"/>
      <c r="AK466" s="71"/>
      <c r="AL466" s="84"/>
      <c r="BC466" s="261">
        <f t="shared" si="39"/>
        <v>96.099999999998374</v>
      </c>
      <c r="BD466" s="259">
        <f t="shared" si="37"/>
        <v>32270</v>
      </c>
      <c r="BE466" s="260">
        <f t="shared" si="38"/>
        <v>96.099999999998374</v>
      </c>
    </row>
    <row r="467" spans="36:57" ht="16.5">
      <c r="AJ467" s="71"/>
      <c r="AK467" s="71"/>
      <c r="AL467" s="84"/>
      <c r="BC467" s="261">
        <f t="shared" si="39"/>
        <v>96.199999999998369</v>
      </c>
      <c r="BD467" s="259">
        <f t="shared" si="37"/>
        <v>32340</v>
      </c>
      <c r="BE467" s="260">
        <f t="shared" si="38"/>
        <v>96.199999999998369</v>
      </c>
    </row>
    <row r="468" spans="36:57" ht="16.5">
      <c r="AJ468" s="71"/>
      <c r="AK468" s="71"/>
      <c r="AL468" s="84"/>
      <c r="BC468" s="261">
        <f t="shared" si="39"/>
        <v>96.299999999998363</v>
      </c>
      <c r="BD468" s="259">
        <f t="shared" si="37"/>
        <v>32410</v>
      </c>
      <c r="BE468" s="260">
        <f t="shared" si="38"/>
        <v>96.299999999998363</v>
      </c>
    </row>
    <row r="469" spans="36:57" ht="16.5">
      <c r="AJ469" s="71"/>
      <c r="AK469" s="71"/>
      <c r="AL469" s="84"/>
      <c r="BC469" s="261">
        <f t="shared" si="39"/>
        <v>96.399999999998357</v>
      </c>
      <c r="BD469" s="259">
        <f t="shared" si="37"/>
        <v>32480</v>
      </c>
      <c r="BE469" s="260">
        <f t="shared" si="38"/>
        <v>96.399999999998357</v>
      </c>
    </row>
    <row r="470" spans="36:57" ht="16.5">
      <c r="AJ470" s="71"/>
      <c r="AK470" s="71"/>
      <c r="AL470" s="84"/>
      <c r="BC470" s="261">
        <f t="shared" si="39"/>
        <v>96.499999999998352</v>
      </c>
      <c r="BD470" s="259">
        <f t="shared" si="37"/>
        <v>32550</v>
      </c>
      <c r="BE470" s="260">
        <f t="shared" si="38"/>
        <v>96.499999999998352</v>
      </c>
    </row>
    <row r="471" spans="36:57" ht="16.5">
      <c r="AJ471" s="71"/>
      <c r="AK471" s="71"/>
      <c r="AL471" s="84"/>
      <c r="BC471" s="261">
        <f t="shared" si="39"/>
        <v>96.599999999998346</v>
      </c>
      <c r="BD471" s="259">
        <f t="shared" si="37"/>
        <v>32620</v>
      </c>
      <c r="BE471" s="260">
        <f t="shared" si="38"/>
        <v>96.599999999998346</v>
      </c>
    </row>
    <row r="472" spans="36:57" ht="16.5">
      <c r="AJ472" s="71"/>
      <c r="AK472" s="71"/>
      <c r="AL472" s="84"/>
      <c r="BC472" s="261">
        <f t="shared" si="39"/>
        <v>96.69999999999834</v>
      </c>
      <c r="BD472" s="259">
        <f t="shared" si="37"/>
        <v>32690</v>
      </c>
      <c r="BE472" s="260">
        <f t="shared" si="38"/>
        <v>96.69999999999834</v>
      </c>
    </row>
    <row r="473" spans="36:57" ht="16.5">
      <c r="AJ473" s="71"/>
      <c r="AK473" s="71"/>
      <c r="AL473" s="84"/>
      <c r="BC473" s="261">
        <f t="shared" si="39"/>
        <v>96.799999999998334</v>
      </c>
      <c r="BD473" s="259">
        <f t="shared" si="37"/>
        <v>32760</v>
      </c>
      <c r="BE473" s="260">
        <f t="shared" si="38"/>
        <v>96.799999999998334</v>
      </c>
    </row>
    <row r="474" spans="36:57" ht="16.5">
      <c r="AJ474" s="71"/>
      <c r="AK474" s="71"/>
      <c r="AL474" s="84"/>
      <c r="BC474" s="261">
        <f t="shared" si="39"/>
        <v>96.899999999998329</v>
      </c>
      <c r="BD474" s="259">
        <f t="shared" si="37"/>
        <v>32830</v>
      </c>
      <c r="BE474" s="260">
        <f t="shared" si="38"/>
        <v>96.899999999998329</v>
      </c>
    </row>
    <row r="475" spans="36:57" ht="16.5">
      <c r="AJ475" s="71"/>
      <c r="AK475" s="71"/>
      <c r="AL475" s="84"/>
      <c r="BC475" s="261">
        <f t="shared" si="39"/>
        <v>96.999999999998323</v>
      </c>
      <c r="BD475" s="259">
        <f t="shared" si="37"/>
        <v>32900</v>
      </c>
      <c r="BE475" s="260">
        <f t="shared" si="38"/>
        <v>96.999999999998323</v>
      </c>
    </row>
    <row r="476" spans="36:57" ht="16.5">
      <c r="AJ476" s="71"/>
      <c r="AK476" s="71"/>
      <c r="AL476" s="84"/>
      <c r="BC476" s="261">
        <f t="shared" si="39"/>
        <v>97.099999999998317</v>
      </c>
      <c r="BD476" s="259">
        <f t="shared" si="37"/>
        <v>32970</v>
      </c>
      <c r="BE476" s="260">
        <f t="shared" si="38"/>
        <v>97.099999999998317</v>
      </c>
    </row>
    <row r="477" spans="36:57" ht="16.5">
      <c r="AJ477" s="71"/>
      <c r="AK477" s="71"/>
      <c r="AL477" s="84"/>
      <c r="BC477" s="261">
        <f t="shared" si="39"/>
        <v>97.199999999998312</v>
      </c>
      <c r="BD477" s="259">
        <f t="shared" si="37"/>
        <v>33040</v>
      </c>
      <c r="BE477" s="260">
        <f t="shared" si="38"/>
        <v>97.199999999998312</v>
      </c>
    </row>
    <row r="478" spans="36:57" ht="16.5">
      <c r="AJ478" s="71"/>
      <c r="AK478" s="71"/>
      <c r="AL478" s="84"/>
      <c r="BC478" s="261">
        <f t="shared" si="39"/>
        <v>97.299999999998306</v>
      </c>
      <c r="BD478" s="259">
        <f t="shared" si="37"/>
        <v>33110</v>
      </c>
      <c r="BE478" s="260">
        <f t="shared" si="38"/>
        <v>97.299999999998306</v>
      </c>
    </row>
    <row r="479" spans="36:57" ht="16.5">
      <c r="AJ479" s="71"/>
      <c r="AK479" s="71"/>
      <c r="AL479" s="84"/>
      <c r="BC479" s="261">
        <f t="shared" si="39"/>
        <v>97.3999999999983</v>
      </c>
      <c r="BD479" s="259">
        <f t="shared" si="37"/>
        <v>33180</v>
      </c>
      <c r="BE479" s="260">
        <f t="shared" si="38"/>
        <v>97.3999999999983</v>
      </c>
    </row>
    <row r="480" spans="36:57" ht="16.5">
      <c r="AJ480" s="71"/>
      <c r="AK480" s="71"/>
      <c r="AL480" s="84"/>
      <c r="BC480" s="261">
        <f t="shared" si="39"/>
        <v>97.499999999998295</v>
      </c>
      <c r="BD480" s="259">
        <f t="shared" si="37"/>
        <v>33250</v>
      </c>
      <c r="BE480" s="260">
        <f t="shared" si="38"/>
        <v>97.499999999998295</v>
      </c>
    </row>
    <row r="481" spans="36:57" ht="16.5">
      <c r="AJ481" s="71"/>
      <c r="AK481" s="71"/>
      <c r="AL481" s="84"/>
      <c r="BC481" s="261">
        <f t="shared" si="39"/>
        <v>97.599999999998289</v>
      </c>
      <c r="BD481" s="259">
        <f t="shared" si="37"/>
        <v>33320</v>
      </c>
      <c r="BE481" s="260">
        <f t="shared" si="38"/>
        <v>97.599999999998289</v>
      </c>
    </row>
    <row r="482" spans="36:57" ht="16.5">
      <c r="AJ482" s="71"/>
      <c r="AK482" s="71"/>
      <c r="AL482" s="84"/>
      <c r="BC482" s="261">
        <f t="shared" si="39"/>
        <v>97.699999999998283</v>
      </c>
      <c r="BD482" s="259">
        <f t="shared" si="37"/>
        <v>33390</v>
      </c>
      <c r="BE482" s="260">
        <f t="shared" si="38"/>
        <v>97.699999999998283</v>
      </c>
    </row>
    <row r="483" spans="36:57" ht="16.5">
      <c r="AJ483" s="71"/>
      <c r="AK483" s="71"/>
      <c r="AL483" s="84"/>
      <c r="BC483" s="261">
        <f t="shared" si="39"/>
        <v>97.799999999998278</v>
      </c>
      <c r="BD483" s="259">
        <f t="shared" si="37"/>
        <v>33460</v>
      </c>
      <c r="BE483" s="260">
        <f t="shared" si="38"/>
        <v>97.799999999998278</v>
      </c>
    </row>
    <row r="484" spans="36:57" ht="16.5">
      <c r="AJ484" s="71"/>
      <c r="AK484" s="71"/>
      <c r="AL484" s="84"/>
      <c r="BC484" s="261">
        <f t="shared" si="39"/>
        <v>97.899999999998272</v>
      </c>
      <c r="BD484" s="259">
        <f t="shared" si="37"/>
        <v>33530</v>
      </c>
      <c r="BE484" s="260">
        <f t="shared" si="38"/>
        <v>97.899999999998272</v>
      </c>
    </row>
    <row r="485" spans="36:57" ht="16.5">
      <c r="AJ485" s="71"/>
      <c r="AK485" s="71"/>
      <c r="AL485" s="84"/>
      <c r="BC485" s="261">
        <f t="shared" si="39"/>
        <v>97.999999999998266</v>
      </c>
      <c r="BD485" s="259">
        <f t="shared" si="37"/>
        <v>33600</v>
      </c>
      <c r="BE485" s="260">
        <f t="shared" si="38"/>
        <v>97.999999999998266</v>
      </c>
    </row>
    <row r="486" spans="36:57" ht="16.5">
      <c r="AJ486" s="71"/>
      <c r="AK486" s="71"/>
      <c r="AL486" s="84"/>
      <c r="BC486" s="261">
        <f t="shared" si="39"/>
        <v>98.099999999998261</v>
      </c>
      <c r="BD486" s="259">
        <f t="shared" si="37"/>
        <v>33670</v>
      </c>
      <c r="BE486" s="260">
        <f t="shared" si="38"/>
        <v>98.099999999998261</v>
      </c>
    </row>
    <row r="487" spans="36:57" ht="16.5">
      <c r="AJ487" s="71"/>
      <c r="AK487" s="71"/>
      <c r="AL487" s="84"/>
      <c r="BC487" s="261">
        <f t="shared" si="39"/>
        <v>98.199999999998255</v>
      </c>
      <c r="BD487" s="259">
        <f t="shared" si="37"/>
        <v>33740</v>
      </c>
      <c r="BE487" s="260">
        <f t="shared" si="38"/>
        <v>98.199999999998255</v>
      </c>
    </row>
    <row r="488" spans="36:57" ht="16.5">
      <c r="AJ488" s="71"/>
      <c r="AK488" s="71"/>
      <c r="AL488" s="84"/>
      <c r="BC488" s="261">
        <f t="shared" si="39"/>
        <v>98.299999999998249</v>
      </c>
      <c r="BD488" s="259">
        <f t="shared" si="37"/>
        <v>33810</v>
      </c>
      <c r="BE488" s="260">
        <f t="shared" si="38"/>
        <v>98.299999999998249</v>
      </c>
    </row>
    <row r="489" spans="36:57" ht="16.5">
      <c r="AJ489" s="71"/>
      <c r="AK489" s="71"/>
      <c r="AL489" s="84"/>
      <c r="BC489" s="261">
        <f t="shared" si="39"/>
        <v>98.399999999998244</v>
      </c>
      <c r="BD489" s="259">
        <f t="shared" si="37"/>
        <v>33880</v>
      </c>
      <c r="BE489" s="260">
        <f t="shared" si="38"/>
        <v>98.399999999998244</v>
      </c>
    </row>
    <row r="490" spans="36:57" ht="16.5">
      <c r="AJ490" s="71"/>
      <c r="AK490" s="71"/>
      <c r="AL490" s="84"/>
      <c r="BC490" s="261">
        <f t="shared" si="39"/>
        <v>98.499999999998238</v>
      </c>
      <c r="BD490" s="259">
        <f t="shared" si="37"/>
        <v>33950</v>
      </c>
      <c r="BE490" s="260">
        <f t="shared" si="38"/>
        <v>98.499999999998238</v>
      </c>
    </row>
    <row r="491" spans="36:57" ht="16.5">
      <c r="AJ491" s="71"/>
      <c r="AK491" s="71"/>
      <c r="AL491" s="84"/>
      <c r="BC491" s="261">
        <f t="shared" si="39"/>
        <v>98.599999999998232</v>
      </c>
      <c r="BD491" s="259">
        <f t="shared" si="37"/>
        <v>34020</v>
      </c>
      <c r="BE491" s="260">
        <f t="shared" si="38"/>
        <v>98.599999999998232</v>
      </c>
    </row>
    <row r="492" spans="36:57" ht="16.5">
      <c r="AJ492" s="71"/>
      <c r="AK492" s="71"/>
      <c r="AL492" s="84"/>
      <c r="BC492" s="261">
        <f t="shared" si="39"/>
        <v>98.699999999998226</v>
      </c>
      <c r="BD492" s="259">
        <f t="shared" si="37"/>
        <v>34090</v>
      </c>
      <c r="BE492" s="260">
        <f t="shared" si="38"/>
        <v>98.699999999998226</v>
      </c>
    </row>
    <row r="493" spans="36:57" ht="16.5">
      <c r="AJ493" s="71"/>
      <c r="AK493" s="71"/>
      <c r="AL493" s="84"/>
      <c r="BC493" s="261">
        <f t="shared" si="39"/>
        <v>98.799999999998221</v>
      </c>
      <c r="BD493" s="259">
        <f t="shared" si="37"/>
        <v>34160</v>
      </c>
      <c r="BE493" s="260">
        <f t="shared" si="38"/>
        <v>98.799999999998221</v>
      </c>
    </row>
    <row r="494" spans="36:57" ht="16.5">
      <c r="AJ494" s="71"/>
      <c r="AK494" s="71"/>
      <c r="AL494" s="84"/>
      <c r="BC494" s="261">
        <f t="shared" si="39"/>
        <v>98.899999999998215</v>
      </c>
      <c r="BD494" s="259">
        <f t="shared" si="37"/>
        <v>34230</v>
      </c>
      <c r="BE494" s="260">
        <f t="shared" si="38"/>
        <v>98.899999999998215</v>
      </c>
    </row>
    <row r="495" spans="36:57" ht="16.5">
      <c r="AJ495" s="71"/>
      <c r="AK495" s="71"/>
      <c r="AL495" s="84"/>
      <c r="BC495" s="261">
        <f t="shared" si="39"/>
        <v>98.999999999998209</v>
      </c>
      <c r="BD495" s="259">
        <f t="shared" si="37"/>
        <v>34300</v>
      </c>
      <c r="BE495" s="260">
        <f t="shared" si="38"/>
        <v>98.999999999998209</v>
      </c>
    </row>
    <row r="496" spans="36:57" ht="16.5">
      <c r="AJ496" s="71"/>
      <c r="AK496" s="71"/>
      <c r="AL496" s="84"/>
      <c r="BC496" s="261">
        <f t="shared" si="39"/>
        <v>99.099999999998204</v>
      </c>
      <c r="BD496" s="259">
        <f t="shared" si="37"/>
        <v>34370</v>
      </c>
      <c r="BE496" s="260">
        <f t="shared" si="38"/>
        <v>99.099999999998204</v>
      </c>
    </row>
    <row r="497" spans="36:57" ht="16.5">
      <c r="AJ497" s="71"/>
      <c r="AK497" s="71"/>
      <c r="AL497" s="84"/>
      <c r="BC497" s="261">
        <f t="shared" si="39"/>
        <v>99.199999999998198</v>
      </c>
      <c r="BD497" s="259">
        <f t="shared" si="37"/>
        <v>34440</v>
      </c>
      <c r="BE497" s="260">
        <f t="shared" si="38"/>
        <v>99.199999999998198</v>
      </c>
    </row>
    <row r="498" spans="36:57" ht="16.5">
      <c r="AJ498" s="71"/>
      <c r="AK498" s="71"/>
      <c r="AL498" s="84"/>
      <c r="BC498" s="261">
        <f t="shared" si="39"/>
        <v>99.299999999998192</v>
      </c>
      <c r="BD498" s="259">
        <f t="shared" si="37"/>
        <v>34510</v>
      </c>
      <c r="BE498" s="260">
        <f t="shared" si="38"/>
        <v>99.299999999998192</v>
      </c>
    </row>
    <row r="499" spans="36:57" ht="16.5">
      <c r="AJ499" s="71"/>
      <c r="AK499" s="71"/>
      <c r="AL499" s="84"/>
      <c r="BC499" s="261">
        <f t="shared" si="39"/>
        <v>99.399999999998187</v>
      </c>
      <c r="BD499" s="259">
        <f t="shared" si="37"/>
        <v>34580</v>
      </c>
      <c r="BE499" s="260">
        <f t="shared" si="38"/>
        <v>99.399999999998187</v>
      </c>
    </row>
    <row r="500" spans="36:57" ht="16.5">
      <c r="AJ500" s="71"/>
      <c r="AK500" s="71"/>
      <c r="AL500" s="84"/>
      <c r="BC500" s="261">
        <f t="shared" si="39"/>
        <v>99.499999999998181</v>
      </c>
      <c r="BD500" s="259">
        <f t="shared" si="37"/>
        <v>34650</v>
      </c>
      <c r="BE500" s="260">
        <f t="shared" si="38"/>
        <v>99.499999999998181</v>
      </c>
    </row>
    <row r="501" spans="36:57" ht="16.5">
      <c r="AJ501" s="71"/>
      <c r="AK501" s="71"/>
      <c r="AL501" s="84"/>
      <c r="BC501" s="261">
        <f t="shared" si="39"/>
        <v>99.599999999998175</v>
      </c>
      <c r="BD501" s="259">
        <f t="shared" si="37"/>
        <v>34720</v>
      </c>
      <c r="BE501" s="260">
        <f t="shared" si="38"/>
        <v>99.599999999998175</v>
      </c>
    </row>
    <row r="502" spans="36:57" ht="16.5">
      <c r="AJ502" s="71"/>
      <c r="AK502" s="71"/>
      <c r="AL502" s="84"/>
      <c r="BC502" s="261">
        <f t="shared" si="39"/>
        <v>99.69999999999817</v>
      </c>
      <c r="BD502" s="259">
        <f t="shared" si="37"/>
        <v>34790</v>
      </c>
      <c r="BE502" s="260">
        <f t="shared" si="38"/>
        <v>99.69999999999817</v>
      </c>
    </row>
    <row r="503" spans="36:57" ht="16.5">
      <c r="AJ503" s="71"/>
      <c r="AK503" s="71"/>
      <c r="AL503" s="84"/>
      <c r="BC503" s="261">
        <f t="shared" si="39"/>
        <v>99.799999999998164</v>
      </c>
      <c r="BD503" s="259">
        <f t="shared" si="37"/>
        <v>34860</v>
      </c>
      <c r="BE503" s="260">
        <f t="shared" si="38"/>
        <v>99.799999999998164</v>
      </c>
    </row>
    <row r="504" spans="36:57" ht="16.5">
      <c r="AJ504" s="71"/>
      <c r="AK504" s="71"/>
      <c r="AL504" s="84"/>
      <c r="BC504" s="261">
        <f t="shared" si="39"/>
        <v>99.899999999998158</v>
      </c>
      <c r="BD504" s="259">
        <f t="shared" si="37"/>
        <v>34930</v>
      </c>
      <c r="BE504" s="260">
        <f t="shared" si="38"/>
        <v>99.899999999998158</v>
      </c>
    </row>
    <row r="505" spans="36:57" ht="16.5">
      <c r="AJ505" s="71"/>
      <c r="AK505" s="71"/>
      <c r="AL505" s="84"/>
      <c r="BC505" s="261">
        <f t="shared" si="39"/>
        <v>99.999999999998153</v>
      </c>
      <c r="BD505" s="259">
        <f t="shared" si="37"/>
        <v>35000</v>
      </c>
      <c r="BE505" s="260">
        <f t="shared" si="38"/>
        <v>99.999999999998153</v>
      </c>
    </row>
    <row r="506" spans="36:57" ht="16.5">
      <c r="AJ506" s="71"/>
      <c r="AK506" s="71"/>
      <c r="AL506" s="84"/>
      <c r="BC506" s="261">
        <f t="shared" si="39"/>
        <v>100.09999999999815</v>
      </c>
      <c r="BD506" s="259">
        <f t="shared" si="37"/>
        <v>35070</v>
      </c>
      <c r="BE506" s="260">
        <f t="shared" si="38"/>
        <v>100.09999999999815</v>
      </c>
    </row>
    <row r="507" spans="36:57" ht="16.5">
      <c r="AJ507" s="71"/>
      <c r="AK507" s="71"/>
      <c r="AL507" s="84"/>
      <c r="BC507" s="261">
        <f t="shared" si="39"/>
        <v>100.19999999999814</v>
      </c>
      <c r="BD507" s="259">
        <f t="shared" si="37"/>
        <v>35140</v>
      </c>
      <c r="BE507" s="260">
        <f t="shared" si="38"/>
        <v>100.19999999999814</v>
      </c>
    </row>
    <row r="508" spans="36:57" ht="16.5">
      <c r="AJ508" s="71"/>
      <c r="AK508" s="71"/>
      <c r="AL508" s="84"/>
      <c r="BC508" s="261">
        <f t="shared" si="39"/>
        <v>100.29999999999814</v>
      </c>
      <c r="BD508" s="259">
        <f t="shared" si="37"/>
        <v>35210</v>
      </c>
      <c r="BE508" s="260">
        <f t="shared" si="38"/>
        <v>100.29999999999814</v>
      </c>
    </row>
    <row r="509" spans="36:57" ht="16.5">
      <c r="AJ509" s="71"/>
      <c r="AK509" s="71"/>
      <c r="AL509" s="84"/>
      <c r="BC509" s="261">
        <f t="shared" si="39"/>
        <v>100.39999999999813</v>
      </c>
      <c r="BD509" s="259">
        <f t="shared" si="37"/>
        <v>35280</v>
      </c>
      <c r="BE509" s="260">
        <f t="shared" si="38"/>
        <v>100.39999999999813</v>
      </c>
    </row>
    <row r="510" spans="36:57" ht="16.5">
      <c r="AJ510" s="71"/>
      <c r="AK510" s="71"/>
      <c r="AL510" s="84"/>
      <c r="BC510" s="261">
        <f t="shared" si="39"/>
        <v>100.49999999999812</v>
      </c>
      <c r="BD510" s="259">
        <f t="shared" si="37"/>
        <v>35350</v>
      </c>
      <c r="BE510" s="260">
        <f t="shared" si="38"/>
        <v>100.49999999999812</v>
      </c>
    </row>
    <row r="511" spans="36:57" ht="16.5">
      <c r="AJ511" s="71"/>
      <c r="AK511" s="71"/>
      <c r="AL511" s="84"/>
      <c r="BC511" s="261">
        <f t="shared" si="39"/>
        <v>100.59999999999812</v>
      </c>
      <c r="BD511" s="259">
        <f t="shared" si="37"/>
        <v>35420</v>
      </c>
      <c r="BE511" s="260">
        <f t="shared" si="38"/>
        <v>100.59999999999812</v>
      </c>
    </row>
    <row r="512" spans="36:57" ht="16.5">
      <c r="AJ512" s="71"/>
      <c r="AK512" s="71"/>
      <c r="AL512" s="84"/>
      <c r="BC512" s="261">
        <f t="shared" si="39"/>
        <v>100.69999999999811</v>
      </c>
      <c r="BD512" s="259">
        <f t="shared" si="37"/>
        <v>35490</v>
      </c>
      <c r="BE512" s="260">
        <f t="shared" si="38"/>
        <v>100.69999999999811</v>
      </c>
    </row>
    <row r="513" spans="36:57" ht="16.5">
      <c r="AJ513" s="71"/>
      <c r="AK513" s="71"/>
      <c r="AL513" s="84"/>
      <c r="BC513" s="261">
        <f t="shared" si="39"/>
        <v>100.79999999999811</v>
      </c>
      <c r="BD513" s="259">
        <f t="shared" si="37"/>
        <v>35560</v>
      </c>
      <c r="BE513" s="260">
        <f t="shared" si="38"/>
        <v>100.79999999999811</v>
      </c>
    </row>
    <row r="514" spans="36:57" ht="16.5">
      <c r="AJ514" s="71"/>
      <c r="AK514" s="71"/>
      <c r="AL514" s="84"/>
      <c r="BC514" s="261">
        <f t="shared" si="39"/>
        <v>100.8999999999981</v>
      </c>
      <c r="BD514" s="259">
        <f t="shared" si="37"/>
        <v>35630</v>
      </c>
      <c r="BE514" s="260">
        <f t="shared" si="38"/>
        <v>100.8999999999981</v>
      </c>
    </row>
    <row r="515" spans="36:57" ht="16.5">
      <c r="AJ515" s="71"/>
      <c r="AK515" s="71"/>
      <c r="AL515" s="84"/>
      <c r="BC515" s="261">
        <f t="shared" si="39"/>
        <v>100.9999999999981</v>
      </c>
      <c r="BD515" s="259">
        <f t="shared" si="37"/>
        <v>35700</v>
      </c>
      <c r="BE515" s="260">
        <f t="shared" si="38"/>
        <v>100.9999999999981</v>
      </c>
    </row>
    <row r="516" spans="36:57" ht="16.5">
      <c r="AJ516" s="71"/>
      <c r="AK516" s="71"/>
      <c r="AL516" s="84"/>
      <c r="BC516" s="261">
        <f t="shared" si="39"/>
        <v>101.09999999999809</v>
      </c>
      <c r="BD516" s="259">
        <f t="shared" si="37"/>
        <v>35770</v>
      </c>
      <c r="BE516" s="260">
        <f t="shared" si="38"/>
        <v>101.09999999999809</v>
      </c>
    </row>
    <row r="517" spans="36:57" ht="16.5">
      <c r="AJ517" s="71"/>
      <c r="AK517" s="71"/>
      <c r="AL517" s="84"/>
      <c r="BC517" s="261">
        <f t="shared" si="39"/>
        <v>101.19999999999808</v>
      </c>
      <c r="BD517" s="259">
        <f t="shared" si="37"/>
        <v>35840</v>
      </c>
      <c r="BE517" s="260">
        <f t="shared" si="38"/>
        <v>101.19999999999808</v>
      </c>
    </row>
    <row r="518" spans="36:57" ht="16.5">
      <c r="AJ518" s="71"/>
      <c r="AK518" s="71"/>
      <c r="AL518" s="84"/>
      <c r="BC518" s="261">
        <f t="shared" si="39"/>
        <v>101.29999999999808</v>
      </c>
      <c r="BD518" s="259">
        <f t="shared" ref="BD518:BD581" si="40">BD517+($BD$4/($BB$4*10))</f>
        <v>35910</v>
      </c>
      <c r="BE518" s="260">
        <f t="shared" ref="BE518:BE581" si="41">BC518</f>
        <v>101.29999999999808</v>
      </c>
    </row>
    <row r="519" spans="36:57" ht="16.5">
      <c r="AJ519" s="71"/>
      <c r="AK519" s="71"/>
      <c r="AL519" s="84"/>
      <c r="BC519" s="261">
        <f t="shared" ref="BC519:BC582" si="42">BC518+0.1</f>
        <v>101.39999999999807</v>
      </c>
      <c r="BD519" s="259">
        <f t="shared" si="40"/>
        <v>35980</v>
      </c>
      <c r="BE519" s="260">
        <f t="shared" si="41"/>
        <v>101.39999999999807</v>
      </c>
    </row>
    <row r="520" spans="36:57" ht="16.5">
      <c r="AJ520" s="71"/>
      <c r="AK520" s="71"/>
      <c r="AL520" s="84"/>
      <c r="BC520" s="261">
        <f t="shared" si="42"/>
        <v>101.49999999999807</v>
      </c>
      <c r="BD520" s="259">
        <f t="shared" si="40"/>
        <v>36050</v>
      </c>
      <c r="BE520" s="260">
        <f t="shared" si="41"/>
        <v>101.49999999999807</v>
      </c>
    </row>
    <row r="521" spans="36:57" ht="16.5">
      <c r="AJ521" s="71"/>
      <c r="AK521" s="71"/>
      <c r="AL521" s="84"/>
      <c r="BC521" s="261">
        <f t="shared" si="42"/>
        <v>101.59999999999806</v>
      </c>
      <c r="BD521" s="259">
        <f t="shared" si="40"/>
        <v>36120</v>
      </c>
      <c r="BE521" s="260">
        <f t="shared" si="41"/>
        <v>101.59999999999806</v>
      </c>
    </row>
    <row r="522" spans="36:57" ht="16.5">
      <c r="AJ522" s="71"/>
      <c r="AK522" s="71"/>
      <c r="AL522" s="84"/>
      <c r="BC522" s="261">
        <f t="shared" si="42"/>
        <v>101.69999999999806</v>
      </c>
      <c r="BD522" s="259">
        <f t="shared" si="40"/>
        <v>36190</v>
      </c>
      <c r="BE522" s="260">
        <f t="shared" si="41"/>
        <v>101.69999999999806</v>
      </c>
    </row>
    <row r="523" spans="36:57" ht="16.5">
      <c r="AJ523" s="71"/>
      <c r="AK523" s="71"/>
      <c r="AL523" s="84"/>
      <c r="BC523" s="261">
        <f t="shared" si="42"/>
        <v>101.79999999999805</v>
      </c>
      <c r="BD523" s="259">
        <f t="shared" si="40"/>
        <v>36260</v>
      </c>
      <c r="BE523" s="260">
        <f t="shared" si="41"/>
        <v>101.79999999999805</v>
      </c>
    </row>
    <row r="524" spans="36:57" ht="16.5">
      <c r="AJ524" s="71"/>
      <c r="AK524" s="71"/>
      <c r="AL524" s="84"/>
      <c r="BC524" s="261">
        <f t="shared" si="42"/>
        <v>101.89999999999804</v>
      </c>
      <c r="BD524" s="259">
        <f t="shared" si="40"/>
        <v>36330</v>
      </c>
      <c r="BE524" s="260">
        <f t="shared" si="41"/>
        <v>101.89999999999804</v>
      </c>
    </row>
    <row r="525" spans="36:57" ht="16.5">
      <c r="AJ525" s="71"/>
      <c r="AK525" s="71"/>
      <c r="AL525" s="84"/>
      <c r="BC525" s="261">
        <f t="shared" si="42"/>
        <v>101.99999999999804</v>
      </c>
      <c r="BD525" s="259">
        <f t="shared" si="40"/>
        <v>36400</v>
      </c>
      <c r="BE525" s="260">
        <f t="shared" si="41"/>
        <v>101.99999999999804</v>
      </c>
    </row>
    <row r="526" spans="36:57" ht="16.5">
      <c r="AJ526" s="71"/>
      <c r="AK526" s="71"/>
      <c r="AL526" s="84"/>
      <c r="BC526" s="261">
        <f t="shared" si="42"/>
        <v>102.09999999999803</v>
      </c>
      <c r="BD526" s="259">
        <f t="shared" si="40"/>
        <v>36470</v>
      </c>
      <c r="BE526" s="260">
        <f t="shared" si="41"/>
        <v>102.09999999999803</v>
      </c>
    </row>
    <row r="527" spans="36:57" ht="16.5">
      <c r="AJ527" s="71"/>
      <c r="AK527" s="71"/>
      <c r="AL527" s="84"/>
      <c r="BC527" s="261">
        <f t="shared" si="42"/>
        <v>102.19999999999803</v>
      </c>
      <c r="BD527" s="259">
        <f t="shared" si="40"/>
        <v>36540</v>
      </c>
      <c r="BE527" s="260">
        <f t="shared" si="41"/>
        <v>102.19999999999803</v>
      </c>
    </row>
    <row r="528" spans="36:57" ht="16.5">
      <c r="AJ528" s="71"/>
      <c r="AK528" s="71"/>
      <c r="AL528" s="84"/>
      <c r="BC528" s="261">
        <f t="shared" si="42"/>
        <v>102.29999999999802</v>
      </c>
      <c r="BD528" s="259">
        <f t="shared" si="40"/>
        <v>36610</v>
      </c>
      <c r="BE528" s="260">
        <f t="shared" si="41"/>
        <v>102.29999999999802</v>
      </c>
    </row>
    <row r="529" spans="36:57" ht="16.5">
      <c r="AJ529" s="71"/>
      <c r="AK529" s="71"/>
      <c r="AL529" s="84"/>
      <c r="BC529" s="261">
        <f t="shared" si="42"/>
        <v>102.39999999999802</v>
      </c>
      <c r="BD529" s="259">
        <f t="shared" si="40"/>
        <v>36680</v>
      </c>
      <c r="BE529" s="260">
        <f t="shared" si="41"/>
        <v>102.39999999999802</v>
      </c>
    </row>
    <row r="530" spans="36:57" ht="16.5">
      <c r="AJ530" s="71"/>
      <c r="AK530" s="71"/>
      <c r="AL530" s="84"/>
      <c r="BC530" s="261">
        <f t="shared" si="42"/>
        <v>102.49999999999801</v>
      </c>
      <c r="BD530" s="259">
        <f t="shared" si="40"/>
        <v>36750</v>
      </c>
      <c r="BE530" s="260">
        <f t="shared" si="41"/>
        <v>102.49999999999801</v>
      </c>
    </row>
    <row r="531" spans="36:57" ht="16.5">
      <c r="AJ531" s="71"/>
      <c r="AK531" s="71"/>
      <c r="AL531" s="84"/>
      <c r="BC531" s="261">
        <f t="shared" si="42"/>
        <v>102.599999999998</v>
      </c>
      <c r="BD531" s="259">
        <f t="shared" si="40"/>
        <v>36820</v>
      </c>
      <c r="BE531" s="260">
        <f t="shared" si="41"/>
        <v>102.599999999998</v>
      </c>
    </row>
    <row r="532" spans="36:57" ht="16.5">
      <c r="AJ532" s="71"/>
      <c r="AK532" s="71"/>
      <c r="AL532" s="84"/>
      <c r="BC532" s="261">
        <f t="shared" si="42"/>
        <v>102.699999999998</v>
      </c>
      <c r="BD532" s="259">
        <f t="shared" si="40"/>
        <v>36890</v>
      </c>
      <c r="BE532" s="260">
        <f t="shared" si="41"/>
        <v>102.699999999998</v>
      </c>
    </row>
    <row r="533" spans="36:57" ht="16.5">
      <c r="AJ533" s="71"/>
      <c r="AK533" s="71"/>
      <c r="AL533" s="84"/>
      <c r="BC533" s="261">
        <f t="shared" si="42"/>
        <v>102.79999999999799</v>
      </c>
      <c r="BD533" s="259">
        <f t="shared" si="40"/>
        <v>36960</v>
      </c>
      <c r="BE533" s="260">
        <f t="shared" si="41"/>
        <v>102.79999999999799</v>
      </c>
    </row>
    <row r="534" spans="36:57" ht="16.5">
      <c r="AJ534" s="71"/>
      <c r="AK534" s="71"/>
      <c r="AL534" s="84"/>
      <c r="BC534" s="261">
        <f t="shared" si="42"/>
        <v>102.89999999999799</v>
      </c>
      <c r="BD534" s="259">
        <f t="shared" si="40"/>
        <v>37030</v>
      </c>
      <c r="BE534" s="260">
        <f t="shared" si="41"/>
        <v>102.89999999999799</v>
      </c>
    </row>
    <row r="535" spans="36:57" ht="16.5">
      <c r="AJ535" s="71"/>
      <c r="AK535" s="71"/>
      <c r="AL535" s="84"/>
      <c r="BC535" s="261">
        <f t="shared" si="42"/>
        <v>102.99999999999798</v>
      </c>
      <c r="BD535" s="259">
        <f t="shared" si="40"/>
        <v>37100</v>
      </c>
      <c r="BE535" s="260">
        <f t="shared" si="41"/>
        <v>102.99999999999798</v>
      </c>
    </row>
    <row r="536" spans="36:57" ht="16.5">
      <c r="AJ536" s="71"/>
      <c r="AK536" s="71"/>
      <c r="AL536" s="84"/>
      <c r="BC536" s="261">
        <f t="shared" si="42"/>
        <v>103.09999999999798</v>
      </c>
      <c r="BD536" s="259">
        <f t="shared" si="40"/>
        <v>37170</v>
      </c>
      <c r="BE536" s="260">
        <f t="shared" si="41"/>
        <v>103.09999999999798</v>
      </c>
    </row>
    <row r="537" spans="36:57" ht="16.5">
      <c r="AJ537" s="71"/>
      <c r="AK537" s="71"/>
      <c r="AL537" s="84"/>
      <c r="BC537" s="261">
        <f t="shared" si="42"/>
        <v>103.19999999999797</v>
      </c>
      <c r="BD537" s="259">
        <f t="shared" si="40"/>
        <v>37240</v>
      </c>
      <c r="BE537" s="260">
        <f t="shared" si="41"/>
        <v>103.19999999999797</v>
      </c>
    </row>
    <row r="538" spans="36:57" ht="16.5">
      <c r="AJ538" s="71"/>
      <c r="AK538" s="71"/>
      <c r="AL538" s="84"/>
      <c r="BC538" s="261">
        <f t="shared" si="42"/>
        <v>103.29999999999797</v>
      </c>
      <c r="BD538" s="259">
        <f t="shared" si="40"/>
        <v>37310</v>
      </c>
      <c r="BE538" s="260">
        <f t="shared" si="41"/>
        <v>103.29999999999797</v>
      </c>
    </row>
    <row r="539" spans="36:57" ht="16.5">
      <c r="AJ539" s="71"/>
      <c r="AK539" s="71"/>
      <c r="AL539" s="84"/>
      <c r="BC539" s="261">
        <f t="shared" si="42"/>
        <v>103.39999999999796</v>
      </c>
      <c r="BD539" s="259">
        <f t="shared" si="40"/>
        <v>37380</v>
      </c>
      <c r="BE539" s="260">
        <f t="shared" si="41"/>
        <v>103.39999999999796</v>
      </c>
    </row>
    <row r="540" spans="36:57" ht="16.5">
      <c r="AJ540" s="71"/>
      <c r="AK540" s="71"/>
      <c r="AL540" s="84"/>
      <c r="BC540" s="261">
        <f t="shared" si="42"/>
        <v>103.49999999999795</v>
      </c>
      <c r="BD540" s="259">
        <f t="shared" si="40"/>
        <v>37450</v>
      </c>
      <c r="BE540" s="260">
        <f t="shared" si="41"/>
        <v>103.49999999999795</v>
      </c>
    </row>
    <row r="541" spans="36:57" ht="16.5">
      <c r="AJ541" s="71"/>
      <c r="AK541" s="71"/>
      <c r="AL541" s="84"/>
      <c r="BC541" s="261">
        <f t="shared" si="42"/>
        <v>103.59999999999795</v>
      </c>
      <c r="BD541" s="259">
        <f t="shared" si="40"/>
        <v>37520</v>
      </c>
      <c r="BE541" s="260">
        <f t="shared" si="41"/>
        <v>103.59999999999795</v>
      </c>
    </row>
    <row r="542" spans="36:57" ht="16.5">
      <c r="AJ542" s="71"/>
      <c r="AK542" s="71"/>
      <c r="AL542" s="84"/>
      <c r="BC542" s="261">
        <f t="shared" si="42"/>
        <v>103.69999999999794</v>
      </c>
      <c r="BD542" s="259">
        <f t="shared" si="40"/>
        <v>37590</v>
      </c>
      <c r="BE542" s="260">
        <f t="shared" si="41"/>
        <v>103.69999999999794</v>
      </c>
    </row>
    <row r="543" spans="36:57" ht="16.5">
      <c r="AJ543" s="71"/>
      <c r="AK543" s="71"/>
      <c r="AL543" s="84"/>
      <c r="BC543" s="261">
        <f t="shared" si="42"/>
        <v>103.79999999999794</v>
      </c>
      <c r="BD543" s="259">
        <f t="shared" si="40"/>
        <v>37660</v>
      </c>
      <c r="BE543" s="260">
        <f t="shared" si="41"/>
        <v>103.79999999999794</v>
      </c>
    </row>
    <row r="544" spans="36:57" ht="16.5">
      <c r="AJ544" s="71"/>
      <c r="AK544" s="71"/>
      <c r="AL544" s="84"/>
      <c r="BC544" s="261">
        <f t="shared" si="42"/>
        <v>103.89999999999793</v>
      </c>
      <c r="BD544" s="259">
        <f t="shared" si="40"/>
        <v>37730</v>
      </c>
      <c r="BE544" s="260">
        <f t="shared" si="41"/>
        <v>103.89999999999793</v>
      </c>
    </row>
    <row r="545" spans="36:57" ht="16.5">
      <c r="AJ545" s="71"/>
      <c r="AK545" s="71"/>
      <c r="AL545" s="84"/>
      <c r="BC545" s="261">
        <f t="shared" si="42"/>
        <v>103.99999999999793</v>
      </c>
      <c r="BD545" s="259">
        <f t="shared" si="40"/>
        <v>37800</v>
      </c>
      <c r="BE545" s="260">
        <f t="shared" si="41"/>
        <v>103.99999999999793</v>
      </c>
    </row>
    <row r="546" spans="36:57" ht="16.5">
      <c r="AJ546" s="71"/>
      <c r="AK546" s="71"/>
      <c r="AL546" s="84"/>
      <c r="BC546" s="261">
        <f t="shared" si="42"/>
        <v>104.09999999999792</v>
      </c>
      <c r="BD546" s="259">
        <f t="shared" si="40"/>
        <v>37870</v>
      </c>
      <c r="BE546" s="260">
        <f t="shared" si="41"/>
        <v>104.09999999999792</v>
      </c>
    </row>
    <row r="547" spans="36:57" ht="16.5">
      <c r="AJ547" s="71"/>
      <c r="AK547" s="71"/>
      <c r="AL547" s="84"/>
      <c r="BC547" s="261">
        <f t="shared" si="42"/>
        <v>104.19999999999791</v>
      </c>
      <c r="BD547" s="259">
        <f t="shared" si="40"/>
        <v>37940</v>
      </c>
      <c r="BE547" s="260">
        <f t="shared" si="41"/>
        <v>104.19999999999791</v>
      </c>
    </row>
    <row r="548" spans="36:57" ht="16.5">
      <c r="AJ548" s="71"/>
      <c r="AK548" s="71"/>
      <c r="AL548" s="84"/>
      <c r="BC548" s="261">
        <f t="shared" si="42"/>
        <v>104.29999999999791</v>
      </c>
      <c r="BD548" s="259">
        <f t="shared" si="40"/>
        <v>38010</v>
      </c>
      <c r="BE548" s="260">
        <f t="shared" si="41"/>
        <v>104.29999999999791</v>
      </c>
    </row>
    <row r="549" spans="36:57" ht="16.5">
      <c r="AJ549" s="71"/>
      <c r="AK549" s="71"/>
      <c r="AL549" s="84"/>
      <c r="BC549" s="261">
        <f t="shared" si="42"/>
        <v>104.3999999999979</v>
      </c>
      <c r="BD549" s="259">
        <f t="shared" si="40"/>
        <v>38080</v>
      </c>
      <c r="BE549" s="260">
        <f t="shared" si="41"/>
        <v>104.3999999999979</v>
      </c>
    </row>
    <row r="550" spans="36:57" ht="16.5">
      <c r="AJ550" s="71"/>
      <c r="AK550" s="71"/>
      <c r="AL550" s="84"/>
      <c r="BC550" s="261">
        <f t="shared" si="42"/>
        <v>104.4999999999979</v>
      </c>
      <c r="BD550" s="259">
        <f t="shared" si="40"/>
        <v>38150</v>
      </c>
      <c r="BE550" s="260">
        <f t="shared" si="41"/>
        <v>104.4999999999979</v>
      </c>
    </row>
    <row r="551" spans="36:57" ht="16.5">
      <c r="AJ551" s="71"/>
      <c r="AK551" s="71"/>
      <c r="AL551" s="84"/>
      <c r="BC551" s="261">
        <f t="shared" si="42"/>
        <v>104.59999999999789</v>
      </c>
      <c r="BD551" s="259">
        <f t="shared" si="40"/>
        <v>38220</v>
      </c>
      <c r="BE551" s="260">
        <f t="shared" si="41"/>
        <v>104.59999999999789</v>
      </c>
    </row>
    <row r="552" spans="36:57" ht="16.5">
      <c r="AJ552" s="71"/>
      <c r="AK552" s="71"/>
      <c r="AL552" s="84"/>
      <c r="BC552" s="261">
        <f t="shared" si="42"/>
        <v>104.69999999999789</v>
      </c>
      <c r="BD552" s="259">
        <f t="shared" si="40"/>
        <v>38290</v>
      </c>
      <c r="BE552" s="260">
        <f t="shared" si="41"/>
        <v>104.69999999999789</v>
      </c>
    </row>
    <row r="553" spans="36:57" ht="16.5">
      <c r="AJ553" s="71"/>
      <c r="AK553" s="71"/>
      <c r="AL553" s="84"/>
      <c r="BC553" s="261">
        <f t="shared" si="42"/>
        <v>104.79999999999788</v>
      </c>
      <c r="BD553" s="259">
        <f t="shared" si="40"/>
        <v>38360</v>
      </c>
      <c r="BE553" s="260">
        <f t="shared" si="41"/>
        <v>104.79999999999788</v>
      </c>
    </row>
    <row r="554" spans="36:57" ht="16.5">
      <c r="AJ554" s="71"/>
      <c r="AK554" s="71"/>
      <c r="AL554" s="84"/>
      <c r="BC554" s="261">
        <f t="shared" si="42"/>
        <v>104.89999999999787</v>
      </c>
      <c r="BD554" s="259">
        <f t="shared" si="40"/>
        <v>38430</v>
      </c>
      <c r="BE554" s="260">
        <f t="shared" si="41"/>
        <v>104.89999999999787</v>
      </c>
    </row>
    <row r="555" spans="36:57" ht="16.5">
      <c r="AJ555" s="71"/>
      <c r="AK555" s="71"/>
      <c r="AL555" s="84"/>
      <c r="BC555" s="261">
        <f t="shared" si="42"/>
        <v>104.99999999999787</v>
      </c>
      <c r="BD555" s="259">
        <f t="shared" si="40"/>
        <v>38500</v>
      </c>
      <c r="BE555" s="260">
        <f t="shared" si="41"/>
        <v>104.99999999999787</v>
      </c>
    </row>
    <row r="556" spans="36:57" ht="16.5">
      <c r="AJ556" s="71"/>
      <c r="AK556" s="71"/>
      <c r="AL556" s="84"/>
      <c r="BC556" s="261">
        <f t="shared" si="42"/>
        <v>105.09999999999786</v>
      </c>
      <c r="BD556" s="259">
        <f t="shared" si="40"/>
        <v>38570</v>
      </c>
      <c r="BE556" s="260">
        <f t="shared" si="41"/>
        <v>105.09999999999786</v>
      </c>
    </row>
    <row r="557" spans="36:57" ht="16.5">
      <c r="AJ557" s="71"/>
      <c r="AK557" s="71"/>
      <c r="AL557" s="84"/>
      <c r="BC557" s="261">
        <f t="shared" si="42"/>
        <v>105.19999999999786</v>
      </c>
      <c r="BD557" s="259">
        <f t="shared" si="40"/>
        <v>38640</v>
      </c>
      <c r="BE557" s="260">
        <f t="shared" si="41"/>
        <v>105.19999999999786</v>
      </c>
    </row>
    <row r="558" spans="36:57" ht="16.5">
      <c r="AJ558" s="71"/>
      <c r="AK558" s="71"/>
      <c r="AL558" s="84"/>
      <c r="BC558" s="261">
        <f t="shared" si="42"/>
        <v>105.29999999999785</v>
      </c>
      <c r="BD558" s="259">
        <f t="shared" si="40"/>
        <v>38710</v>
      </c>
      <c r="BE558" s="260">
        <f t="shared" si="41"/>
        <v>105.29999999999785</v>
      </c>
    </row>
    <row r="559" spans="36:57" ht="16.5">
      <c r="AJ559" s="71"/>
      <c r="AK559" s="71"/>
      <c r="AL559" s="84"/>
      <c r="BC559" s="261">
        <f t="shared" si="42"/>
        <v>105.39999999999785</v>
      </c>
      <c r="BD559" s="259">
        <f t="shared" si="40"/>
        <v>38780</v>
      </c>
      <c r="BE559" s="260">
        <f t="shared" si="41"/>
        <v>105.39999999999785</v>
      </c>
    </row>
    <row r="560" spans="36:57" ht="16.5">
      <c r="AJ560" s="71"/>
      <c r="AK560" s="71"/>
      <c r="AL560" s="84"/>
      <c r="BC560" s="261">
        <f t="shared" si="42"/>
        <v>105.49999999999784</v>
      </c>
      <c r="BD560" s="259">
        <f t="shared" si="40"/>
        <v>38850</v>
      </c>
      <c r="BE560" s="260">
        <f t="shared" si="41"/>
        <v>105.49999999999784</v>
      </c>
    </row>
    <row r="561" spans="36:57" ht="16.5">
      <c r="AJ561" s="71"/>
      <c r="AK561" s="71"/>
      <c r="AL561" s="84"/>
      <c r="BC561" s="261">
        <f t="shared" si="42"/>
        <v>105.59999999999783</v>
      </c>
      <c r="BD561" s="259">
        <f t="shared" si="40"/>
        <v>38920</v>
      </c>
      <c r="BE561" s="260">
        <f t="shared" si="41"/>
        <v>105.59999999999783</v>
      </c>
    </row>
    <row r="562" spans="36:57" ht="16.5">
      <c r="AJ562" s="71"/>
      <c r="AK562" s="71"/>
      <c r="AL562" s="84"/>
      <c r="BC562" s="261">
        <f t="shared" si="42"/>
        <v>105.69999999999783</v>
      </c>
      <c r="BD562" s="259">
        <f t="shared" si="40"/>
        <v>38990</v>
      </c>
      <c r="BE562" s="260">
        <f t="shared" si="41"/>
        <v>105.69999999999783</v>
      </c>
    </row>
    <row r="563" spans="36:57" ht="16.5">
      <c r="AJ563" s="71"/>
      <c r="AK563" s="71"/>
      <c r="AL563" s="84"/>
      <c r="BC563" s="261">
        <f t="shared" si="42"/>
        <v>105.79999999999782</v>
      </c>
      <c r="BD563" s="259">
        <f t="shared" si="40"/>
        <v>39060</v>
      </c>
      <c r="BE563" s="260">
        <f t="shared" si="41"/>
        <v>105.79999999999782</v>
      </c>
    </row>
    <row r="564" spans="36:57" ht="16.5">
      <c r="AJ564" s="71"/>
      <c r="AK564" s="71"/>
      <c r="AL564" s="84"/>
      <c r="BC564" s="261">
        <f t="shared" si="42"/>
        <v>105.89999999999782</v>
      </c>
      <c r="BD564" s="259">
        <f t="shared" si="40"/>
        <v>39130</v>
      </c>
      <c r="BE564" s="260">
        <f t="shared" si="41"/>
        <v>105.89999999999782</v>
      </c>
    </row>
    <row r="565" spans="36:57" ht="16.5">
      <c r="AJ565" s="71"/>
      <c r="AK565" s="71"/>
      <c r="AL565" s="84"/>
      <c r="BC565" s="261">
        <f t="shared" si="42"/>
        <v>105.99999999999781</v>
      </c>
      <c r="BD565" s="259">
        <f t="shared" si="40"/>
        <v>39200</v>
      </c>
      <c r="BE565" s="260">
        <f t="shared" si="41"/>
        <v>105.99999999999781</v>
      </c>
    </row>
    <row r="566" spans="36:57" ht="16.5">
      <c r="AJ566" s="71"/>
      <c r="AK566" s="71"/>
      <c r="AL566" s="84"/>
      <c r="BC566" s="261">
        <f t="shared" si="42"/>
        <v>106.09999999999781</v>
      </c>
      <c r="BD566" s="259">
        <f t="shared" si="40"/>
        <v>39270</v>
      </c>
      <c r="BE566" s="260">
        <f t="shared" si="41"/>
        <v>106.09999999999781</v>
      </c>
    </row>
    <row r="567" spans="36:57" ht="16.5">
      <c r="AJ567" s="71"/>
      <c r="AK567" s="71"/>
      <c r="AL567" s="84"/>
      <c r="BC567" s="261">
        <f t="shared" si="42"/>
        <v>106.1999999999978</v>
      </c>
      <c r="BD567" s="259">
        <f t="shared" si="40"/>
        <v>39340</v>
      </c>
      <c r="BE567" s="260">
        <f t="shared" si="41"/>
        <v>106.1999999999978</v>
      </c>
    </row>
    <row r="568" spans="36:57" ht="16.5">
      <c r="AJ568" s="71"/>
      <c r="AK568" s="71"/>
      <c r="AL568" s="84"/>
      <c r="BC568" s="261">
        <f t="shared" si="42"/>
        <v>106.29999999999779</v>
      </c>
      <c r="BD568" s="259">
        <f t="shared" si="40"/>
        <v>39410</v>
      </c>
      <c r="BE568" s="260">
        <f t="shared" si="41"/>
        <v>106.29999999999779</v>
      </c>
    </row>
    <row r="569" spans="36:57" ht="16.5">
      <c r="AJ569" s="71"/>
      <c r="AK569" s="71"/>
      <c r="AL569" s="84"/>
      <c r="BC569" s="261">
        <f t="shared" si="42"/>
        <v>106.39999999999779</v>
      </c>
      <c r="BD569" s="259">
        <f t="shared" si="40"/>
        <v>39480</v>
      </c>
      <c r="BE569" s="260">
        <f t="shared" si="41"/>
        <v>106.39999999999779</v>
      </c>
    </row>
    <row r="570" spans="36:57" ht="16.5">
      <c r="AJ570" s="71"/>
      <c r="AK570" s="71"/>
      <c r="AL570" s="84"/>
      <c r="BC570" s="261">
        <f t="shared" si="42"/>
        <v>106.49999999999778</v>
      </c>
      <c r="BD570" s="259">
        <f t="shared" si="40"/>
        <v>39550</v>
      </c>
      <c r="BE570" s="260">
        <f t="shared" si="41"/>
        <v>106.49999999999778</v>
      </c>
    </row>
    <row r="571" spans="36:57" ht="16.5">
      <c r="AJ571" s="71"/>
      <c r="AK571" s="71"/>
      <c r="AL571" s="84"/>
      <c r="BC571" s="261">
        <f t="shared" si="42"/>
        <v>106.59999999999778</v>
      </c>
      <c r="BD571" s="259">
        <f t="shared" si="40"/>
        <v>39620</v>
      </c>
      <c r="BE571" s="260">
        <f t="shared" si="41"/>
        <v>106.59999999999778</v>
      </c>
    </row>
    <row r="572" spans="36:57" ht="16.5">
      <c r="AJ572" s="71"/>
      <c r="AK572" s="71"/>
      <c r="AL572" s="84"/>
      <c r="BC572" s="261">
        <f t="shared" si="42"/>
        <v>106.69999999999777</v>
      </c>
      <c r="BD572" s="259">
        <f t="shared" si="40"/>
        <v>39690</v>
      </c>
      <c r="BE572" s="260">
        <f t="shared" si="41"/>
        <v>106.69999999999777</v>
      </c>
    </row>
    <row r="573" spans="36:57" ht="16.5">
      <c r="AJ573" s="71"/>
      <c r="AK573" s="71"/>
      <c r="AL573" s="84"/>
      <c r="BC573" s="261">
        <f t="shared" si="42"/>
        <v>106.79999999999777</v>
      </c>
      <c r="BD573" s="259">
        <f t="shared" si="40"/>
        <v>39760</v>
      </c>
      <c r="BE573" s="260">
        <f t="shared" si="41"/>
        <v>106.79999999999777</v>
      </c>
    </row>
    <row r="574" spans="36:57" ht="16.5">
      <c r="AJ574" s="71"/>
      <c r="AK574" s="71"/>
      <c r="AL574" s="84"/>
      <c r="BC574" s="261">
        <f t="shared" si="42"/>
        <v>106.89999999999776</v>
      </c>
      <c r="BD574" s="259">
        <f t="shared" si="40"/>
        <v>39830</v>
      </c>
      <c r="BE574" s="260">
        <f t="shared" si="41"/>
        <v>106.89999999999776</v>
      </c>
    </row>
    <row r="575" spans="36:57" ht="16.5">
      <c r="AJ575" s="71"/>
      <c r="AK575" s="71"/>
      <c r="AL575" s="84"/>
      <c r="BC575" s="261">
        <f t="shared" si="42"/>
        <v>106.99999999999775</v>
      </c>
      <c r="BD575" s="259">
        <f t="shared" si="40"/>
        <v>39900</v>
      </c>
      <c r="BE575" s="260">
        <f t="shared" si="41"/>
        <v>106.99999999999775</v>
      </c>
    </row>
    <row r="576" spans="36:57" ht="16.5">
      <c r="AJ576" s="71"/>
      <c r="AK576" s="71"/>
      <c r="AL576" s="84"/>
      <c r="BC576" s="261">
        <f t="shared" si="42"/>
        <v>107.09999999999775</v>
      </c>
      <c r="BD576" s="259">
        <f t="shared" si="40"/>
        <v>39970</v>
      </c>
      <c r="BE576" s="260">
        <f t="shared" si="41"/>
        <v>107.09999999999775</v>
      </c>
    </row>
    <row r="577" spans="36:57" ht="16.5">
      <c r="AJ577" s="71"/>
      <c r="AK577" s="71"/>
      <c r="AL577" s="84"/>
      <c r="BC577" s="261">
        <f t="shared" si="42"/>
        <v>107.19999999999774</v>
      </c>
      <c r="BD577" s="259">
        <f t="shared" si="40"/>
        <v>40040</v>
      </c>
      <c r="BE577" s="260">
        <f t="shared" si="41"/>
        <v>107.19999999999774</v>
      </c>
    </row>
    <row r="578" spans="36:57" ht="16.5">
      <c r="AJ578" s="71"/>
      <c r="AK578" s="71"/>
      <c r="AL578" s="84"/>
      <c r="BC578" s="261">
        <f t="shared" si="42"/>
        <v>107.29999999999774</v>
      </c>
      <c r="BD578" s="259">
        <f t="shared" si="40"/>
        <v>40110</v>
      </c>
      <c r="BE578" s="260">
        <f t="shared" si="41"/>
        <v>107.29999999999774</v>
      </c>
    </row>
    <row r="579" spans="36:57" ht="16.5">
      <c r="AJ579" s="71"/>
      <c r="AK579" s="71"/>
      <c r="AL579" s="84"/>
      <c r="BC579" s="261">
        <f t="shared" si="42"/>
        <v>107.39999999999773</v>
      </c>
      <c r="BD579" s="259">
        <f t="shared" si="40"/>
        <v>40180</v>
      </c>
      <c r="BE579" s="260">
        <f t="shared" si="41"/>
        <v>107.39999999999773</v>
      </c>
    </row>
    <row r="580" spans="36:57" ht="16.5">
      <c r="AJ580" s="71"/>
      <c r="AK580" s="71"/>
      <c r="AL580" s="84"/>
      <c r="BC580" s="261">
        <f t="shared" si="42"/>
        <v>107.49999999999773</v>
      </c>
      <c r="BD580" s="259">
        <f t="shared" si="40"/>
        <v>40250</v>
      </c>
      <c r="BE580" s="260">
        <f t="shared" si="41"/>
        <v>107.49999999999773</v>
      </c>
    </row>
    <row r="581" spans="36:57" ht="16.5">
      <c r="AJ581" s="71"/>
      <c r="AK581" s="71"/>
      <c r="AL581" s="84"/>
      <c r="BC581" s="261">
        <f t="shared" si="42"/>
        <v>107.59999999999772</v>
      </c>
      <c r="BD581" s="259">
        <f t="shared" si="40"/>
        <v>40320</v>
      </c>
      <c r="BE581" s="260">
        <f t="shared" si="41"/>
        <v>107.59999999999772</v>
      </c>
    </row>
    <row r="582" spans="36:57" ht="16.5">
      <c r="AJ582" s="71"/>
      <c r="AK582" s="71"/>
      <c r="AL582" s="84"/>
      <c r="BC582" s="261">
        <f t="shared" si="42"/>
        <v>107.69999999999771</v>
      </c>
      <c r="BD582" s="259">
        <f t="shared" ref="BD582:BD600" si="43">BD581+($BD$4/($BB$4*10))</f>
        <v>40390</v>
      </c>
      <c r="BE582" s="260">
        <f t="shared" ref="BE582:BE600" si="44">BC582</f>
        <v>107.69999999999771</v>
      </c>
    </row>
    <row r="583" spans="36:57" ht="16.5">
      <c r="AJ583" s="71"/>
      <c r="AK583" s="71"/>
      <c r="AL583" s="84"/>
      <c r="BC583" s="261">
        <f t="shared" ref="BC583:BC600" si="45">BC582+0.1</f>
        <v>107.79999999999771</v>
      </c>
      <c r="BD583" s="259">
        <f t="shared" si="43"/>
        <v>40460</v>
      </c>
      <c r="BE583" s="260">
        <f t="shared" si="44"/>
        <v>107.79999999999771</v>
      </c>
    </row>
    <row r="584" spans="36:57" ht="16.5">
      <c r="AJ584" s="71"/>
      <c r="AK584" s="71"/>
      <c r="AL584" s="84"/>
      <c r="BC584" s="261">
        <f t="shared" si="45"/>
        <v>107.8999999999977</v>
      </c>
      <c r="BD584" s="259">
        <f t="shared" si="43"/>
        <v>40530</v>
      </c>
      <c r="BE584" s="260">
        <f t="shared" si="44"/>
        <v>107.8999999999977</v>
      </c>
    </row>
    <row r="585" spans="36:57" ht="16.5">
      <c r="AJ585" s="71"/>
      <c r="AK585" s="71"/>
      <c r="AL585" s="84"/>
      <c r="BC585" s="261">
        <f t="shared" si="45"/>
        <v>107.9999999999977</v>
      </c>
      <c r="BD585" s="259">
        <f t="shared" si="43"/>
        <v>40600</v>
      </c>
      <c r="BE585" s="260">
        <f t="shared" si="44"/>
        <v>107.9999999999977</v>
      </c>
    </row>
    <row r="586" spans="36:57" ht="16.5">
      <c r="AJ586" s="71"/>
      <c r="AK586" s="71"/>
      <c r="AL586" s="84"/>
      <c r="BC586" s="261">
        <f t="shared" si="45"/>
        <v>108.09999999999769</v>
      </c>
      <c r="BD586" s="259">
        <f t="shared" si="43"/>
        <v>40670</v>
      </c>
      <c r="BE586" s="260">
        <f t="shared" si="44"/>
        <v>108.09999999999769</v>
      </c>
    </row>
    <row r="587" spans="36:57" ht="16.5">
      <c r="AJ587" s="71"/>
      <c r="AK587" s="71"/>
      <c r="AL587" s="84"/>
      <c r="BC587" s="261">
        <f t="shared" si="45"/>
        <v>108.19999999999769</v>
      </c>
      <c r="BD587" s="259">
        <f t="shared" si="43"/>
        <v>40740</v>
      </c>
      <c r="BE587" s="260">
        <f t="shared" si="44"/>
        <v>108.19999999999769</v>
      </c>
    </row>
    <row r="588" spans="36:57" ht="16.5">
      <c r="AJ588" s="71"/>
      <c r="AK588" s="71"/>
      <c r="AL588" s="84"/>
      <c r="BC588" s="261">
        <f t="shared" si="45"/>
        <v>108.29999999999768</v>
      </c>
      <c r="BD588" s="259">
        <f t="shared" si="43"/>
        <v>40810</v>
      </c>
      <c r="BE588" s="260">
        <f t="shared" si="44"/>
        <v>108.29999999999768</v>
      </c>
    </row>
    <row r="589" spans="36:57" ht="16.5">
      <c r="AJ589" s="71"/>
      <c r="AK589" s="71"/>
      <c r="AL589" s="84"/>
      <c r="BC589" s="261">
        <f t="shared" si="45"/>
        <v>108.39999999999768</v>
      </c>
      <c r="BD589" s="259">
        <f t="shared" si="43"/>
        <v>40880</v>
      </c>
      <c r="BE589" s="260">
        <f t="shared" si="44"/>
        <v>108.39999999999768</v>
      </c>
    </row>
    <row r="590" spans="36:57" ht="16.5">
      <c r="AJ590" s="71"/>
      <c r="AK590" s="71"/>
      <c r="AL590" s="84"/>
      <c r="BC590" s="261">
        <f t="shared" si="45"/>
        <v>108.49999999999767</v>
      </c>
      <c r="BD590" s="259">
        <f t="shared" si="43"/>
        <v>40950</v>
      </c>
      <c r="BE590" s="260">
        <f t="shared" si="44"/>
        <v>108.49999999999767</v>
      </c>
    </row>
    <row r="591" spans="36:57" ht="16.5">
      <c r="AJ591" s="71"/>
      <c r="AK591" s="71"/>
      <c r="AL591" s="84"/>
      <c r="BC591" s="261">
        <f t="shared" si="45"/>
        <v>108.59999999999766</v>
      </c>
      <c r="BD591" s="259">
        <f t="shared" si="43"/>
        <v>41020</v>
      </c>
      <c r="BE591" s="260">
        <f t="shared" si="44"/>
        <v>108.59999999999766</v>
      </c>
    </row>
    <row r="592" spans="36:57" ht="16.5">
      <c r="AJ592" s="71"/>
      <c r="AK592" s="71"/>
      <c r="AL592" s="84"/>
      <c r="BC592" s="261">
        <f t="shared" si="45"/>
        <v>108.69999999999766</v>
      </c>
      <c r="BD592" s="259">
        <f t="shared" si="43"/>
        <v>41090</v>
      </c>
      <c r="BE592" s="260">
        <f t="shared" si="44"/>
        <v>108.69999999999766</v>
      </c>
    </row>
    <row r="593" spans="36:57" ht="16.5">
      <c r="AJ593" s="71"/>
      <c r="AK593" s="71"/>
      <c r="AL593" s="84"/>
      <c r="BC593" s="261">
        <f t="shared" si="45"/>
        <v>108.79999999999765</v>
      </c>
      <c r="BD593" s="259">
        <f t="shared" si="43"/>
        <v>41160</v>
      </c>
      <c r="BE593" s="260">
        <f t="shared" si="44"/>
        <v>108.79999999999765</v>
      </c>
    </row>
    <row r="594" spans="36:57" ht="16.5">
      <c r="AJ594" s="71"/>
      <c r="AK594" s="71"/>
      <c r="AL594" s="84"/>
      <c r="BC594" s="261">
        <f t="shared" si="45"/>
        <v>108.89999999999765</v>
      </c>
      <c r="BD594" s="259">
        <f t="shared" si="43"/>
        <v>41230</v>
      </c>
      <c r="BE594" s="260">
        <f t="shared" si="44"/>
        <v>108.89999999999765</v>
      </c>
    </row>
    <row r="595" spans="36:57" ht="16.5">
      <c r="AJ595" s="71"/>
      <c r="AK595" s="71"/>
      <c r="AL595" s="84"/>
      <c r="BC595" s="261">
        <f t="shared" si="45"/>
        <v>108.99999999999764</v>
      </c>
      <c r="BD595" s="259">
        <f t="shared" si="43"/>
        <v>41300</v>
      </c>
      <c r="BE595" s="260">
        <f t="shared" si="44"/>
        <v>108.99999999999764</v>
      </c>
    </row>
    <row r="596" spans="36:57" ht="16.5">
      <c r="AJ596" s="71"/>
      <c r="AK596" s="71"/>
      <c r="AL596" s="84"/>
      <c r="BC596" s="261">
        <f t="shared" si="45"/>
        <v>109.09999999999764</v>
      </c>
      <c r="BD596" s="259">
        <f t="shared" si="43"/>
        <v>41370</v>
      </c>
      <c r="BE596" s="260">
        <f t="shared" si="44"/>
        <v>109.09999999999764</v>
      </c>
    </row>
    <row r="597" spans="36:57" ht="16.5">
      <c r="AJ597" s="71"/>
      <c r="AK597" s="71"/>
      <c r="AL597" s="84"/>
      <c r="BC597" s="261">
        <f t="shared" si="45"/>
        <v>109.19999999999763</v>
      </c>
      <c r="BD597" s="259">
        <f t="shared" si="43"/>
        <v>41440</v>
      </c>
      <c r="BE597" s="260">
        <f t="shared" si="44"/>
        <v>109.19999999999763</v>
      </c>
    </row>
    <row r="598" spans="36:57" ht="16.5">
      <c r="AJ598" s="71"/>
      <c r="AK598" s="71"/>
      <c r="AL598" s="84"/>
      <c r="BC598" s="261">
        <f t="shared" si="45"/>
        <v>109.29999999999762</v>
      </c>
      <c r="BD598" s="259">
        <f t="shared" si="43"/>
        <v>41510</v>
      </c>
      <c r="BE598" s="260">
        <f t="shared" si="44"/>
        <v>109.29999999999762</v>
      </c>
    </row>
    <row r="599" spans="36:57" ht="16.5">
      <c r="AJ599" s="71"/>
      <c r="AK599" s="71"/>
      <c r="AL599" s="84"/>
      <c r="BC599" s="261">
        <f t="shared" si="45"/>
        <v>109.39999999999762</v>
      </c>
      <c r="BD599" s="259">
        <f t="shared" si="43"/>
        <v>41580</v>
      </c>
      <c r="BE599" s="260">
        <f t="shared" si="44"/>
        <v>109.39999999999762</v>
      </c>
    </row>
    <row r="600" spans="36:57" ht="17.25" thickBot="1">
      <c r="AJ600" s="71"/>
      <c r="AK600" s="71"/>
      <c r="AL600" s="84"/>
      <c r="BC600" s="262">
        <f t="shared" si="45"/>
        <v>109.49999999999761</v>
      </c>
      <c r="BD600" s="263">
        <f t="shared" si="43"/>
        <v>41650</v>
      </c>
      <c r="BE600" s="264">
        <f t="shared" si="44"/>
        <v>109.49999999999761</v>
      </c>
    </row>
    <row r="601" spans="36:57" ht="16.5">
      <c r="AJ601" s="71"/>
      <c r="AK601" s="71"/>
      <c r="AL601" s="84"/>
    </row>
    <row r="602" spans="36:57" ht="16.5">
      <c r="AJ602" s="71"/>
      <c r="AK602" s="71"/>
      <c r="AL602" s="84"/>
    </row>
    <row r="603" spans="36:57" ht="16.5">
      <c r="AJ603" s="71"/>
      <c r="AK603" s="71"/>
      <c r="AL603" s="84"/>
    </row>
    <row r="604" spans="36:57" ht="16.5">
      <c r="AJ604" s="71"/>
      <c r="AK604" s="71"/>
      <c r="AL604" s="84"/>
    </row>
    <row r="605" spans="36:57" ht="16.5">
      <c r="AJ605" s="71"/>
      <c r="AK605" s="71"/>
      <c r="AL605" s="84"/>
    </row>
    <row r="606" spans="36:57" ht="16.5">
      <c r="AJ606" s="71"/>
      <c r="AK606" s="71"/>
      <c r="AL606" s="84"/>
    </row>
    <row r="607" spans="36:57" ht="16.5">
      <c r="AJ607" s="71"/>
      <c r="AK607" s="71"/>
      <c r="AL607" s="84"/>
    </row>
    <row r="608" spans="36:57" ht="16.5">
      <c r="AJ608" s="71"/>
      <c r="AK608" s="71"/>
      <c r="AL608" s="84"/>
    </row>
    <row r="609" spans="36:38" ht="16.5">
      <c r="AJ609" s="71"/>
      <c r="AK609" s="71"/>
      <c r="AL609" s="84"/>
    </row>
    <row r="610" spans="36:38" ht="16.5">
      <c r="AJ610" s="71"/>
      <c r="AK610" s="71"/>
      <c r="AL610" s="84"/>
    </row>
    <row r="611" spans="36:38" ht="16.5">
      <c r="AJ611" s="71"/>
      <c r="AK611" s="71"/>
      <c r="AL611" s="84"/>
    </row>
    <row r="612" spans="36:38" ht="16.5">
      <c r="AJ612" s="71"/>
      <c r="AK612" s="71"/>
      <c r="AL612" s="84"/>
    </row>
    <row r="613" spans="36:38" ht="16.5">
      <c r="AJ613" s="71"/>
      <c r="AK613" s="71"/>
      <c r="AL613" s="84"/>
    </row>
    <row r="614" spans="36:38" ht="16.5">
      <c r="AJ614" s="71"/>
      <c r="AK614" s="71"/>
      <c r="AL614" s="84"/>
    </row>
    <row r="615" spans="36:38" ht="16.5">
      <c r="AJ615" s="71"/>
      <c r="AK615" s="71"/>
      <c r="AL615" s="84"/>
    </row>
    <row r="616" spans="36:38" ht="16.5">
      <c r="AJ616" s="71"/>
      <c r="AK616" s="71"/>
      <c r="AL616" s="84"/>
    </row>
    <row r="617" spans="36:38" ht="16.5">
      <c r="AJ617" s="71"/>
      <c r="AK617" s="71"/>
      <c r="AL617" s="84"/>
    </row>
    <row r="618" spans="36:38" ht="16.5">
      <c r="AJ618" s="71"/>
      <c r="AK618" s="71"/>
      <c r="AL618" s="84"/>
    </row>
    <row r="619" spans="36:38" ht="16.5">
      <c r="AJ619" s="71"/>
      <c r="AK619" s="71"/>
      <c r="AL619" s="84"/>
    </row>
    <row r="620" spans="36:38" ht="16.5">
      <c r="AJ620" s="71"/>
      <c r="AK620" s="71"/>
      <c r="AL620" s="84"/>
    </row>
    <row r="621" spans="36:38" ht="16.5">
      <c r="AJ621" s="71"/>
      <c r="AK621" s="71"/>
      <c r="AL621" s="84"/>
    </row>
    <row r="622" spans="36:38" ht="16.5">
      <c r="AJ622" s="71"/>
      <c r="AK622" s="71"/>
      <c r="AL622" s="84"/>
    </row>
    <row r="623" spans="36:38" ht="16.5">
      <c r="AJ623" s="71"/>
      <c r="AK623" s="71"/>
      <c r="AL623" s="84"/>
    </row>
    <row r="624" spans="36:38" ht="16.5">
      <c r="AJ624" s="71"/>
      <c r="AK624" s="71"/>
      <c r="AL624" s="84"/>
    </row>
    <row r="625" spans="36:38" ht="16.5">
      <c r="AJ625" s="71"/>
      <c r="AK625" s="71"/>
      <c r="AL625" s="84"/>
    </row>
    <row r="626" spans="36:38" ht="16.5">
      <c r="AJ626" s="71"/>
      <c r="AK626" s="71"/>
      <c r="AL626" s="84"/>
    </row>
    <row r="627" spans="36:38" ht="16.5">
      <c r="AJ627" s="71"/>
      <c r="AK627" s="71"/>
      <c r="AL627" s="84"/>
    </row>
    <row r="628" spans="36:38" ht="16.5">
      <c r="AJ628" s="71"/>
      <c r="AK628" s="71"/>
      <c r="AL628" s="84"/>
    </row>
    <row r="629" spans="36:38" ht="16.5">
      <c r="AJ629" s="71"/>
      <c r="AK629" s="71"/>
      <c r="AL629" s="84"/>
    </row>
    <row r="630" spans="36:38" ht="16.5">
      <c r="AJ630" s="71"/>
      <c r="AK630" s="71"/>
      <c r="AL630" s="84"/>
    </row>
    <row r="631" spans="36:38" ht="16.5">
      <c r="AJ631" s="71"/>
      <c r="AK631" s="71"/>
      <c r="AL631" s="84"/>
    </row>
    <row r="632" spans="36:38" ht="16.5">
      <c r="AJ632" s="71"/>
      <c r="AK632" s="71"/>
      <c r="AL632" s="84"/>
    </row>
    <row r="633" spans="36:38" ht="16.5">
      <c r="AJ633" s="71"/>
      <c r="AK633" s="71"/>
      <c r="AL633" s="84"/>
    </row>
    <row r="634" spans="36:38" ht="16.5">
      <c r="AJ634" s="71"/>
      <c r="AK634" s="71"/>
      <c r="AL634" s="84"/>
    </row>
    <row r="635" spans="36:38" ht="16.5">
      <c r="AJ635" s="71"/>
      <c r="AK635" s="71"/>
      <c r="AL635" s="84"/>
    </row>
    <row r="636" spans="36:38" ht="16.5">
      <c r="AJ636" s="71"/>
      <c r="AK636" s="71"/>
      <c r="AL636" s="84"/>
    </row>
    <row r="637" spans="36:38" ht="16.5">
      <c r="AJ637" s="71"/>
      <c r="AK637" s="71"/>
      <c r="AL637" s="84"/>
    </row>
    <row r="638" spans="36:38" ht="16.5">
      <c r="AJ638" s="71"/>
      <c r="AK638" s="71"/>
      <c r="AL638" s="84"/>
    </row>
    <row r="639" spans="36:38" ht="16.5">
      <c r="AJ639" s="71"/>
      <c r="AK639" s="71"/>
      <c r="AL639" s="84"/>
    </row>
    <row r="640" spans="36:38" ht="16.5">
      <c r="AJ640" s="71"/>
      <c r="AK640" s="71"/>
      <c r="AL640" s="84"/>
    </row>
    <row r="641" spans="36:38" ht="16.5">
      <c r="AJ641" s="71"/>
      <c r="AK641" s="71"/>
      <c r="AL641" s="84"/>
    </row>
    <row r="642" spans="36:38" ht="16.5">
      <c r="AJ642" s="71"/>
      <c r="AK642" s="71"/>
      <c r="AL642" s="84"/>
    </row>
    <row r="643" spans="36:38" ht="16.5">
      <c r="AJ643" s="71"/>
      <c r="AK643" s="71"/>
      <c r="AL643" s="84"/>
    </row>
    <row r="644" spans="36:38" ht="16.5">
      <c r="AJ644" s="71"/>
      <c r="AK644" s="71"/>
      <c r="AL644" s="84"/>
    </row>
    <row r="645" spans="36:38" ht="16.5">
      <c r="AJ645" s="71"/>
      <c r="AK645" s="84"/>
      <c r="AL645" s="84"/>
    </row>
    <row r="646" spans="36:38" ht="16.5">
      <c r="AJ646" s="71"/>
      <c r="AK646" s="84"/>
      <c r="AL646" s="84"/>
    </row>
    <row r="647" spans="36:38" ht="16.5">
      <c r="AJ647" s="71"/>
      <c r="AK647" s="84"/>
      <c r="AL647" s="84"/>
    </row>
    <row r="648" spans="36:38" ht="16.5">
      <c r="AJ648" s="71"/>
      <c r="AK648" s="84"/>
      <c r="AL648" s="84"/>
    </row>
    <row r="649" spans="36:38" ht="16.5">
      <c r="AJ649" s="71"/>
      <c r="AK649" s="84"/>
      <c r="AL649" s="84"/>
    </row>
    <row r="650" spans="36:38" ht="16.5">
      <c r="AJ650" s="71"/>
      <c r="AK650" s="84"/>
      <c r="AL650" s="84"/>
    </row>
    <row r="651" spans="36:38" ht="16.5">
      <c r="AJ651" s="71"/>
      <c r="AK651" s="84"/>
      <c r="AL651" s="84"/>
    </row>
    <row r="652" spans="36:38" ht="16.5">
      <c r="AJ652" s="71"/>
      <c r="AK652" s="84"/>
      <c r="AL652" s="84"/>
    </row>
    <row r="653" spans="36:38" ht="16.5">
      <c r="AJ653" s="71"/>
      <c r="AK653" s="84"/>
      <c r="AL653" s="84"/>
    </row>
    <row r="654" spans="36:38" ht="16.5">
      <c r="AJ654" s="71"/>
      <c r="AK654" s="84"/>
      <c r="AL654" s="84"/>
    </row>
    <row r="655" spans="36:38" ht="16.5">
      <c r="AJ655" s="71"/>
      <c r="AK655" s="84"/>
      <c r="AL655" s="84"/>
    </row>
    <row r="656" spans="36:38" ht="16.5">
      <c r="AJ656" s="71"/>
      <c r="AK656" s="84"/>
      <c r="AL656" s="84"/>
    </row>
    <row r="657" spans="36:38" ht="16.5">
      <c r="AJ657" s="71"/>
      <c r="AK657" s="84"/>
      <c r="AL657" s="84"/>
    </row>
    <row r="658" spans="36:38" ht="16.5">
      <c r="AJ658" s="71"/>
      <c r="AK658" s="84"/>
      <c r="AL658" s="84"/>
    </row>
    <row r="659" spans="36:38" ht="16.5">
      <c r="AJ659" s="71"/>
      <c r="AK659" s="84"/>
      <c r="AL659" s="84"/>
    </row>
    <row r="660" spans="36:38" ht="16.5">
      <c r="AJ660" s="71"/>
      <c r="AK660" s="84"/>
      <c r="AL660" s="84"/>
    </row>
    <row r="661" spans="36:38" ht="16.5">
      <c r="AJ661" s="71"/>
      <c r="AK661" s="84"/>
      <c r="AL661" s="84"/>
    </row>
    <row r="662" spans="36:38" ht="16.5">
      <c r="AJ662" s="71"/>
      <c r="AK662" s="84"/>
      <c r="AL662" s="84"/>
    </row>
    <row r="663" spans="36:38" ht="16.5">
      <c r="AJ663" s="71"/>
      <c r="AK663" s="84"/>
      <c r="AL663" s="84"/>
    </row>
    <row r="664" spans="36:38" ht="16.5">
      <c r="AJ664" s="71"/>
      <c r="AK664" s="84"/>
      <c r="AL664" s="84"/>
    </row>
    <row r="665" spans="36:38" ht="16.5">
      <c r="AJ665" s="71"/>
      <c r="AK665" s="84"/>
      <c r="AL665" s="84"/>
    </row>
    <row r="666" spans="36:38" ht="16.5">
      <c r="AJ666" s="71"/>
      <c r="AK666" s="84"/>
      <c r="AL666" s="84"/>
    </row>
    <row r="667" spans="36:38" ht="16.5">
      <c r="AJ667" s="71"/>
      <c r="AK667" s="84"/>
      <c r="AL667" s="84"/>
    </row>
    <row r="668" spans="36:38" ht="16.5">
      <c r="AJ668" s="71"/>
      <c r="AK668" s="84"/>
      <c r="AL668" s="84"/>
    </row>
    <row r="669" spans="36:38" ht="16.5">
      <c r="AJ669" s="71"/>
      <c r="AK669" s="84"/>
      <c r="AL669" s="84"/>
    </row>
    <row r="670" spans="36:38" ht="16.5">
      <c r="AJ670" s="71"/>
      <c r="AK670" s="84"/>
      <c r="AL670" s="84"/>
    </row>
    <row r="671" spans="36:38" ht="16.5">
      <c r="AJ671" s="71"/>
      <c r="AK671" s="84"/>
      <c r="AL671" s="84"/>
    </row>
    <row r="672" spans="36:38" ht="16.5">
      <c r="AJ672" s="71"/>
      <c r="AK672" s="84"/>
      <c r="AL672" s="84"/>
    </row>
    <row r="673" spans="36:38" ht="16.5">
      <c r="AJ673" s="71"/>
      <c r="AK673" s="84"/>
      <c r="AL673" s="84"/>
    </row>
    <row r="674" spans="36:38" ht="16.5">
      <c r="AJ674" s="71"/>
      <c r="AK674" s="84"/>
      <c r="AL674" s="84"/>
    </row>
    <row r="675" spans="36:38" ht="16.5">
      <c r="AJ675" s="71"/>
      <c r="AK675" s="84"/>
      <c r="AL675" s="84"/>
    </row>
    <row r="676" spans="36:38" ht="16.5">
      <c r="AJ676" s="71"/>
      <c r="AK676" s="84"/>
      <c r="AL676" s="84"/>
    </row>
    <row r="677" spans="36:38" ht="16.5">
      <c r="AJ677" s="71"/>
      <c r="AK677" s="84"/>
      <c r="AL677" s="84"/>
    </row>
    <row r="678" spans="36:38" ht="16.5">
      <c r="AJ678" s="71"/>
      <c r="AK678" s="84"/>
      <c r="AL678" s="84"/>
    </row>
    <row r="679" spans="36:38" ht="16.5">
      <c r="AJ679" s="71"/>
      <c r="AK679" s="84"/>
      <c r="AL679" s="84"/>
    </row>
    <row r="680" spans="36:38" ht="16.5">
      <c r="AJ680" s="71"/>
      <c r="AK680" s="84"/>
      <c r="AL680" s="84"/>
    </row>
    <row r="681" spans="36:38" ht="16.5">
      <c r="AJ681" s="71"/>
      <c r="AK681" s="84"/>
      <c r="AL681" s="84"/>
    </row>
    <row r="682" spans="36:38" ht="16.5">
      <c r="AJ682" s="71"/>
      <c r="AK682" s="84"/>
      <c r="AL682" s="84"/>
    </row>
    <row r="683" spans="36:38" ht="16.5">
      <c r="AJ683" s="71"/>
      <c r="AK683" s="84"/>
      <c r="AL683" s="84"/>
    </row>
    <row r="684" spans="36:38" ht="16.5">
      <c r="AJ684" s="71"/>
      <c r="AK684" s="84"/>
      <c r="AL684" s="84"/>
    </row>
    <row r="685" spans="36:38" ht="16.5">
      <c r="AJ685" s="71"/>
      <c r="AK685" s="84"/>
      <c r="AL685" s="84"/>
    </row>
    <row r="686" spans="36:38" ht="16.5">
      <c r="AJ686" s="71"/>
      <c r="AK686" s="84"/>
      <c r="AL686" s="84"/>
    </row>
    <row r="687" spans="36:38" ht="16.5">
      <c r="AJ687" s="71"/>
      <c r="AK687" s="84"/>
      <c r="AL687" s="84"/>
    </row>
    <row r="688" spans="36:38" ht="16.5">
      <c r="AJ688" s="71"/>
      <c r="AK688" s="84"/>
      <c r="AL688" s="84"/>
    </row>
    <row r="689" spans="36:38" ht="16.5">
      <c r="AJ689" s="71"/>
      <c r="AK689" s="84"/>
      <c r="AL689" s="84"/>
    </row>
    <row r="690" spans="36:38" ht="16.5">
      <c r="AJ690" s="71"/>
      <c r="AK690" s="84"/>
      <c r="AL690" s="84"/>
    </row>
    <row r="691" spans="36:38" ht="16.5">
      <c r="AJ691" s="71"/>
      <c r="AK691" s="84"/>
      <c r="AL691" s="84"/>
    </row>
    <row r="692" spans="36:38" ht="16.5">
      <c r="AJ692" s="71"/>
      <c r="AK692" s="84"/>
      <c r="AL692" s="84"/>
    </row>
    <row r="693" spans="36:38" ht="16.5">
      <c r="AJ693" s="71"/>
      <c r="AK693" s="84"/>
      <c r="AL693" s="84"/>
    </row>
    <row r="694" spans="36:38" ht="16.5">
      <c r="AJ694" s="71"/>
      <c r="AK694" s="84"/>
      <c r="AL694" s="84"/>
    </row>
    <row r="695" spans="36:38" ht="16.5">
      <c r="AJ695" s="71"/>
      <c r="AK695" s="84"/>
      <c r="AL695" s="84"/>
    </row>
    <row r="696" spans="36:38" ht="16.5">
      <c r="AJ696" s="71"/>
      <c r="AK696" s="84"/>
      <c r="AL696" s="84"/>
    </row>
    <row r="697" spans="36:38" ht="16.5">
      <c r="AJ697" s="71"/>
      <c r="AK697" s="84"/>
      <c r="AL697" s="84"/>
    </row>
    <row r="698" spans="36:38" ht="16.5">
      <c r="AJ698" s="71"/>
      <c r="AK698" s="84"/>
      <c r="AL698" s="84"/>
    </row>
    <row r="699" spans="36:38" ht="16.5">
      <c r="AJ699" s="71"/>
      <c r="AK699" s="84"/>
      <c r="AL699" s="84"/>
    </row>
    <row r="700" spans="36:38" ht="16.5">
      <c r="AJ700" s="71"/>
      <c r="AK700" s="84"/>
      <c r="AL700" s="84"/>
    </row>
    <row r="701" spans="36:38" ht="16.5">
      <c r="AJ701" s="71"/>
      <c r="AK701" s="84"/>
      <c r="AL701" s="84"/>
    </row>
    <row r="702" spans="36:38" ht="16.5">
      <c r="AJ702" s="71"/>
      <c r="AK702" s="84"/>
      <c r="AL702" s="84"/>
    </row>
    <row r="703" spans="36:38" ht="16.5">
      <c r="AJ703" s="71"/>
      <c r="AK703" s="84"/>
      <c r="AL703" s="84"/>
    </row>
    <row r="704" spans="36:38" ht="16.5">
      <c r="AJ704" s="71"/>
      <c r="AK704" s="84"/>
      <c r="AL704" s="84"/>
    </row>
    <row r="705" spans="36:38" ht="16.5">
      <c r="AJ705" s="71"/>
      <c r="AK705" s="84"/>
      <c r="AL705" s="84"/>
    </row>
    <row r="706" spans="36:38" ht="16.5">
      <c r="AJ706" s="71"/>
      <c r="AK706" s="84"/>
      <c r="AL706" s="84"/>
    </row>
    <row r="707" spans="36:38" ht="16.5">
      <c r="AJ707" s="71"/>
      <c r="AK707" s="84"/>
      <c r="AL707" s="84"/>
    </row>
    <row r="708" spans="36:38" ht="16.5">
      <c r="AJ708" s="71"/>
      <c r="AK708" s="84"/>
      <c r="AL708" s="84"/>
    </row>
    <row r="709" spans="36:38" ht="16.5">
      <c r="AJ709" s="71"/>
      <c r="AK709" s="84"/>
      <c r="AL709" s="84"/>
    </row>
    <row r="710" spans="36:38" ht="16.5">
      <c r="AJ710" s="71"/>
      <c r="AK710" s="84"/>
      <c r="AL710" s="84"/>
    </row>
    <row r="711" spans="36:38" ht="16.5">
      <c r="AJ711" s="71"/>
      <c r="AK711" s="84"/>
      <c r="AL711" s="84"/>
    </row>
    <row r="712" spans="36:38" ht="16.5">
      <c r="AJ712" s="71"/>
      <c r="AK712" s="84"/>
      <c r="AL712" s="84"/>
    </row>
    <row r="713" spans="36:38" ht="16.5">
      <c r="AJ713" s="71"/>
      <c r="AK713" s="84"/>
      <c r="AL713" s="84"/>
    </row>
    <row r="714" spans="36:38" ht="16.5">
      <c r="AJ714" s="71"/>
      <c r="AK714" s="84"/>
      <c r="AL714" s="84"/>
    </row>
    <row r="715" spans="36:38" ht="16.5">
      <c r="AJ715" s="71"/>
      <c r="AK715" s="84"/>
      <c r="AL715" s="84"/>
    </row>
    <row r="716" spans="36:38" ht="16.5">
      <c r="AJ716" s="71"/>
      <c r="AK716" s="84"/>
      <c r="AL716" s="84"/>
    </row>
    <row r="717" spans="36:38" ht="16.5">
      <c r="AJ717" s="71"/>
      <c r="AK717" s="84"/>
      <c r="AL717" s="84"/>
    </row>
    <row r="718" spans="36:38" ht="16.5">
      <c r="AJ718" s="71"/>
      <c r="AK718" s="84"/>
      <c r="AL718" s="84"/>
    </row>
    <row r="719" spans="36:38" ht="16.5">
      <c r="AJ719" s="71"/>
      <c r="AK719" s="84"/>
      <c r="AL719" s="84"/>
    </row>
    <row r="720" spans="36:38" ht="16.5">
      <c r="AJ720" s="71"/>
      <c r="AK720" s="84"/>
      <c r="AL720" s="84"/>
    </row>
    <row r="721" spans="36:38" ht="16.5">
      <c r="AJ721" s="71"/>
      <c r="AK721" s="84"/>
      <c r="AL721" s="84"/>
    </row>
    <row r="722" spans="36:38" ht="16.5">
      <c r="AJ722" s="71"/>
      <c r="AK722" s="84"/>
      <c r="AL722" s="84"/>
    </row>
    <row r="723" spans="36:38" ht="16.5">
      <c r="AJ723" s="71"/>
      <c r="AK723" s="84"/>
      <c r="AL723" s="84"/>
    </row>
    <row r="724" spans="36:38" ht="16.5">
      <c r="AJ724" s="71"/>
      <c r="AK724" s="84"/>
      <c r="AL724" s="84"/>
    </row>
    <row r="725" spans="36:38" ht="16.5">
      <c r="AJ725" s="71"/>
      <c r="AK725" s="84"/>
      <c r="AL725" s="84"/>
    </row>
    <row r="726" spans="36:38" ht="16.5">
      <c r="AJ726" s="71"/>
      <c r="AK726" s="84"/>
      <c r="AL726" s="84"/>
    </row>
    <row r="727" spans="36:38" ht="16.5">
      <c r="AJ727" s="71"/>
      <c r="AK727" s="84"/>
      <c r="AL727" s="84"/>
    </row>
    <row r="728" spans="36:38" ht="16.5">
      <c r="AJ728" s="71"/>
      <c r="AK728" s="84"/>
      <c r="AL728" s="84"/>
    </row>
    <row r="729" spans="36:38" ht="16.5">
      <c r="AJ729" s="71"/>
      <c r="AK729" s="84"/>
      <c r="AL729" s="84"/>
    </row>
    <row r="730" spans="36:38" ht="16.5">
      <c r="AJ730" s="71"/>
      <c r="AK730" s="84"/>
      <c r="AL730" s="84"/>
    </row>
    <row r="731" spans="36:38" ht="16.5">
      <c r="AJ731" s="71"/>
      <c r="AK731" s="84"/>
      <c r="AL731" s="84"/>
    </row>
    <row r="732" spans="36:38" ht="16.5">
      <c r="AJ732" s="71"/>
      <c r="AK732" s="84"/>
      <c r="AL732" s="84"/>
    </row>
    <row r="733" spans="36:38" ht="16.5">
      <c r="AJ733" s="71"/>
      <c r="AK733" s="84"/>
      <c r="AL733" s="84"/>
    </row>
    <row r="734" spans="36:38" ht="16.5">
      <c r="AJ734" s="71"/>
      <c r="AK734" s="84"/>
      <c r="AL734" s="84"/>
    </row>
    <row r="735" spans="36:38" ht="16.5">
      <c r="AJ735" s="71"/>
      <c r="AK735" s="84"/>
      <c r="AL735" s="84"/>
    </row>
    <row r="736" spans="36:38" ht="16.5">
      <c r="AJ736" s="71"/>
      <c r="AK736" s="84"/>
      <c r="AL736" s="84"/>
    </row>
    <row r="737" spans="36:38" ht="16.5">
      <c r="AJ737" s="71"/>
      <c r="AK737" s="84"/>
      <c r="AL737" s="84"/>
    </row>
    <row r="738" spans="36:38" ht="16.5">
      <c r="AJ738" s="71"/>
      <c r="AK738" s="84"/>
      <c r="AL738" s="84"/>
    </row>
    <row r="739" spans="36:38" ht="16.5">
      <c r="AJ739" s="71"/>
      <c r="AK739" s="84"/>
      <c r="AL739" s="84"/>
    </row>
    <row r="740" spans="36:38" ht="16.5">
      <c r="AJ740" s="71"/>
      <c r="AK740" s="84"/>
      <c r="AL740" s="84"/>
    </row>
    <row r="741" spans="36:38" ht="16.5">
      <c r="AJ741" s="71"/>
      <c r="AK741" s="84"/>
      <c r="AL741" s="84"/>
    </row>
    <row r="742" spans="36:38" ht="16.5">
      <c r="AJ742" s="71"/>
      <c r="AK742" s="84"/>
      <c r="AL742" s="84"/>
    </row>
    <row r="743" spans="36:38" ht="16.5">
      <c r="AJ743" s="71"/>
      <c r="AK743" s="84"/>
      <c r="AL743" s="84"/>
    </row>
    <row r="744" spans="36:38" ht="16.5">
      <c r="AJ744" s="71"/>
      <c r="AK744" s="84"/>
      <c r="AL744" s="84"/>
    </row>
    <row r="745" spans="36:38" ht="16.5">
      <c r="AJ745" s="71"/>
      <c r="AK745" s="84"/>
      <c r="AL745" s="84"/>
    </row>
    <row r="746" spans="36:38" ht="16.5">
      <c r="AJ746" s="71"/>
      <c r="AK746" s="84"/>
      <c r="AL746" s="84"/>
    </row>
    <row r="747" spans="36:38" ht="16.5">
      <c r="AJ747" s="71"/>
      <c r="AK747" s="84"/>
      <c r="AL747" s="84"/>
    </row>
    <row r="748" spans="36:38" ht="16.5">
      <c r="AJ748" s="71"/>
      <c r="AK748" s="84"/>
      <c r="AL748" s="84"/>
    </row>
    <row r="749" spans="36:38" ht="16.5">
      <c r="AJ749" s="71"/>
      <c r="AK749" s="84"/>
      <c r="AL749" s="84"/>
    </row>
    <row r="750" spans="36:38" ht="16.5">
      <c r="AJ750" s="71"/>
      <c r="AK750" s="84"/>
      <c r="AL750" s="84"/>
    </row>
    <row r="751" spans="36:38" ht="16.5">
      <c r="AJ751" s="71"/>
      <c r="AK751" s="84"/>
      <c r="AL751" s="84"/>
    </row>
    <row r="752" spans="36:38" ht="16.5">
      <c r="AJ752" s="71"/>
      <c r="AK752" s="84"/>
      <c r="AL752" s="84"/>
    </row>
    <row r="753" spans="36:38" ht="16.5">
      <c r="AJ753" s="71"/>
      <c r="AK753" s="84"/>
      <c r="AL753" s="84"/>
    </row>
    <row r="754" spans="36:38" ht="16.5">
      <c r="AJ754" s="71"/>
      <c r="AK754" s="84"/>
      <c r="AL754" s="84"/>
    </row>
    <row r="755" spans="36:38" ht="16.5">
      <c r="AJ755" s="71"/>
      <c r="AK755" s="84"/>
      <c r="AL755" s="84"/>
    </row>
    <row r="756" spans="36:38" ht="16.5">
      <c r="AJ756" s="71"/>
      <c r="AK756" s="84"/>
      <c r="AL756" s="84"/>
    </row>
    <row r="757" spans="36:38" ht="16.5">
      <c r="AJ757" s="71"/>
      <c r="AK757" s="84"/>
      <c r="AL757" s="84"/>
    </row>
    <row r="758" spans="36:38" ht="16.5">
      <c r="AJ758" s="71"/>
      <c r="AK758" s="84"/>
      <c r="AL758" s="84"/>
    </row>
    <row r="759" spans="36:38" ht="16.5">
      <c r="AJ759" s="71"/>
      <c r="AK759" s="84"/>
      <c r="AL759" s="84"/>
    </row>
    <row r="760" spans="36:38" ht="16.5">
      <c r="AJ760" s="71"/>
      <c r="AK760" s="84"/>
      <c r="AL760" s="84"/>
    </row>
    <row r="761" spans="36:38" ht="16.5">
      <c r="AJ761" s="71"/>
      <c r="AK761" s="84"/>
      <c r="AL761" s="84"/>
    </row>
    <row r="762" spans="36:38" ht="16.5">
      <c r="AJ762" s="71"/>
      <c r="AK762" s="84"/>
      <c r="AL762" s="84"/>
    </row>
    <row r="763" spans="36:38" ht="16.5">
      <c r="AJ763" s="71"/>
      <c r="AK763" s="84"/>
      <c r="AL763" s="84"/>
    </row>
    <row r="764" spans="36:38" ht="16.5">
      <c r="AJ764" s="71"/>
      <c r="AK764" s="84"/>
      <c r="AL764" s="84"/>
    </row>
    <row r="765" spans="36:38" ht="16.5">
      <c r="AJ765" s="71"/>
      <c r="AK765" s="84"/>
      <c r="AL765" s="84"/>
    </row>
    <row r="766" spans="36:38" ht="16.5">
      <c r="AJ766" s="71"/>
      <c r="AK766" s="84"/>
      <c r="AL766" s="84"/>
    </row>
    <row r="767" spans="36:38" ht="16.5">
      <c r="AJ767" s="71"/>
      <c r="AK767" s="84"/>
      <c r="AL767" s="84"/>
    </row>
    <row r="768" spans="36:38" ht="16.5">
      <c r="AJ768" s="71"/>
      <c r="AK768" s="84"/>
      <c r="AL768" s="84"/>
    </row>
    <row r="769" spans="36:38" ht="16.5">
      <c r="AJ769" s="71"/>
      <c r="AK769" s="84"/>
      <c r="AL769" s="84"/>
    </row>
    <row r="770" spans="36:38" ht="16.5">
      <c r="AJ770" s="71"/>
      <c r="AK770" s="84"/>
      <c r="AL770" s="84"/>
    </row>
    <row r="771" spans="36:38" ht="16.5">
      <c r="AJ771" s="71"/>
      <c r="AK771" s="84"/>
      <c r="AL771" s="84"/>
    </row>
    <row r="772" spans="36:38" ht="16.5">
      <c r="AJ772" s="71"/>
      <c r="AK772" s="84"/>
      <c r="AL772" s="84"/>
    </row>
    <row r="773" spans="36:38" ht="16.5">
      <c r="AJ773" s="71"/>
      <c r="AK773" s="84"/>
      <c r="AL773" s="84"/>
    </row>
    <row r="774" spans="36:38" ht="16.5">
      <c r="AJ774" s="71"/>
      <c r="AK774" s="84"/>
      <c r="AL774" s="84"/>
    </row>
    <row r="775" spans="36:38" ht="16.5">
      <c r="AJ775" s="71"/>
      <c r="AK775" s="84"/>
      <c r="AL775" s="84"/>
    </row>
    <row r="776" spans="36:38" ht="16.5">
      <c r="AJ776" s="71"/>
      <c r="AK776" s="84"/>
      <c r="AL776" s="84"/>
    </row>
    <row r="777" spans="36:38" ht="16.5">
      <c r="AJ777" s="71"/>
      <c r="AK777" s="84"/>
      <c r="AL777" s="84"/>
    </row>
    <row r="778" spans="36:38" ht="16.5">
      <c r="AJ778" s="71"/>
      <c r="AK778" s="84"/>
      <c r="AL778" s="84"/>
    </row>
    <row r="779" spans="36:38" ht="16.5">
      <c r="AJ779" s="71"/>
      <c r="AK779" s="84"/>
      <c r="AL779" s="84"/>
    </row>
    <row r="780" spans="36:38" ht="16.5">
      <c r="AJ780" s="71"/>
      <c r="AK780" s="84"/>
      <c r="AL780" s="84"/>
    </row>
    <row r="781" spans="36:38" ht="16.5">
      <c r="AJ781" s="71"/>
      <c r="AK781" s="84"/>
      <c r="AL781" s="84"/>
    </row>
    <row r="782" spans="36:38" ht="16.5">
      <c r="AJ782" s="71"/>
      <c r="AK782" s="84"/>
      <c r="AL782" s="84"/>
    </row>
    <row r="783" spans="36:38" ht="16.5">
      <c r="AJ783" s="71"/>
      <c r="AK783" s="84"/>
      <c r="AL783" s="84"/>
    </row>
    <row r="784" spans="36:38" ht="16.5">
      <c r="AJ784" s="71"/>
      <c r="AK784" s="84"/>
      <c r="AL784" s="84"/>
    </row>
    <row r="785" spans="36:38" ht="16.5">
      <c r="AJ785" s="71"/>
      <c r="AK785" s="84"/>
      <c r="AL785" s="84"/>
    </row>
    <row r="786" spans="36:38" ht="16.5">
      <c r="AJ786" s="71"/>
      <c r="AK786" s="84"/>
      <c r="AL786" s="84"/>
    </row>
    <row r="787" spans="36:38" ht="16.5">
      <c r="AJ787" s="71"/>
      <c r="AK787" s="84"/>
      <c r="AL787" s="84"/>
    </row>
    <row r="788" spans="36:38" ht="16.5">
      <c r="AJ788" s="71"/>
      <c r="AK788" s="84"/>
      <c r="AL788" s="84"/>
    </row>
    <row r="789" spans="36:38" ht="16.5">
      <c r="AJ789" s="71"/>
      <c r="AK789" s="84"/>
      <c r="AL789" s="84"/>
    </row>
    <row r="790" spans="36:38" ht="16.5">
      <c r="AJ790" s="71"/>
      <c r="AK790" s="84"/>
      <c r="AL790" s="84"/>
    </row>
    <row r="791" spans="36:38" ht="16.5">
      <c r="AJ791" s="71"/>
      <c r="AK791" s="84"/>
      <c r="AL791" s="84"/>
    </row>
    <row r="792" spans="36:38" ht="16.5">
      <c r="AJ792" s="71"/>
      <c r="AK792" s="84"/>
      <c r="AL792" s="84"/>
    </row>
    <row r="793" spans="36:38" ht="16.5">
      <c r="AJ793" s="71"/>
      <c r="AK793" s="84"/>
      <c r="AL793" s="84"/>
    </row>
    <row r="794" spans="36:38" ht="16.5">
      <c r="AJ794" s="71"/>
      <c r="AK794" s="84"/>
      <c r="AL794" s="84"/>
    </row>
    <row r="795" spans="36:38" ht="16.5">
      <c r="AJ795" s="71"/>
      <c r="AK795" s="84"/>
      <c r="AL795" s="84"/>
    </row>
    <row r="796" spans="36:38" ht="16.5">
      <c r="AJ796" s="71"/>
      <c r="AK796" s="84"/>
      <c r="AL796" s="84"/>
    </row>
    <row r="797" spans="36:38" ht="16.5">
      <c r="AJ797" s="71"/>
      <c r="AK797" s="84"/>
      <c r="AL797" s="84"/>
    </row>
    <row r="798" spans="36:38" ht="16.5">
      <c r="AJ798" s="71"/>
      <c r="AK798" s="84"/>
      <c r="AL798" s="84"/>
    </row>
    <row r="799" spans="36:38" ht="16.5">
      <c r="AJ799" s="71"/>
      <c r="AK799" s="84"/>
      <c r="AL799" s="84"/>
    </row>
    <row r="800" spans="36:38" ht="16.5">
      <c r="AJ800" s="71"/>
      <c r="AK800" s="84"/>
      <c r="AL800" s="84"/>
    </row>
    <row r="801" spans="36:38" ht="16.5">
      <c r="AJ801" s="71"/>
      <c r="AK801" s="84"/>
      <c r="AL801" s="84"/>
    </row>
    <row r="802" spans="36:38" ht="16.5">
      <c r="AJ802" s="71"/>
      <c r="AK802" s="84"/>
      <c r="AL802" s="84"/>
    </row>
    <row r="803" spans="36:38" ht="16.5">
      <c r="AJ803" s="71"/>
      <c r="AK803" s="84"/>
      <c r="AL803" s="84"/>
    </row>
    <row r="804" spans="36:38" ht="16.5">
      <c r="AJ804" s="71"/>
      <c r="AK804" s="84"/>
      <c r="AL804" s="84"/>
    </row>
    <row r="805" spans="36:38" ht="16.5">
      <c r="AJ805" s="71"/>
      <c r="AK805" s="84"/>
      <c r="AL805" s="84"/>
    </row>
    <row r="806" spans="36:38" ht="16.5">
      <c r="AJ806" s="71"/>
      <c r="AK806" s="84"/>
      <c r="AL806" s="84"/>
    </row>
    <row r="807" spans="36:38" ht="16.5">
      <c r="AJ807" s="71"/>
      <c r="AK807" s="84"/>
      <c r="AL807" s="84"/>
    </row>
    <row r="808" spans="36:38" ht="16.5">
      <c r="AJ808" s="71"/>
      <c r="AK808" s="84"/>
      <c r="AL808" s="84"/>
    </row>
    <row r="809" spans="36:38" ht="16.5">
      <c r="AJ809" s="71"/>
      <c r="AK809" s="84"/>
      <c r="AL809" s="84"/>
    </row>
    <row r="810" spans="36:38" ht="16.5">
      <c r="AJ810" s="71"/>
      <c r="AK810" s="84"/>
      <c r="AL810" s="84"/>
    </row>
    <row r="811" spans="36:38" ht="16.5">
      <c r="AJ811" s="71"/>
      <c r="AK811" s="84"/>
      <c r="AL811" s="84"/>
    </row>
    <row r="812" spans="36:38" ht="16.5">
      <c r="AJ812" s="71"/>
      <c r="AK812" s="84"/>
      <c r="AL812" s="84"/>
    </row>
    <row r="813" spans="36:38" ht="16.5">
      <c r="AJ813" s="71"/>
      <c r="AK813" s="84"/>
      <c r="AL813" s="84"/>
    </row>
    <row r="814" spans="36:38" ht="16.5">
      <c r="AJ814" s="71"/>
      <c r="AK814" s="84"/>
      <c r="AL814" s="84"/>
    </row>
    <row r="815" spans="36:38" ht="16.5">
      <c r="AJ815" s="71"/>
      <c r="AK815" s="84"/>
      <c r="AL815" s="84"/>
    </row>
    <row r="816" spans="36:38" ht="16.5">
      <c r="AJ816" s="71"/>
      <c r="AK816" s="84"/>
      <c r="AL816" s="84"/>
    </row>
    <row r="817" spans="36:38" ht="16.5">
      <c r="AJ817" s="71"/>
      <c r="AK817" s="84"/>
      <c r="AL817" s="84"/>
    </row>
    <row r="818" spans="36:38" ht="16.5">
      <c r="AJ818" s="71"/>
      <c r="AK818" s="84"/>
      <c r="AL818" s="84"/>
    </row>
    <row r="819" spans="36:38" ht="16.5">
      <c r="AJ819" s="71"/>
      <c r="AK819" s="84"/>
      <c r="AL819" s="84"/>
    </row>
    <row r="820" spans="36:38" ht="16.5">
      <c r="AJ820" s="71"/>
      <c r="AK820" s="84"/>
      <c r="AL820" s="84"/>
    </row>
    <row r="821" spans="36:38" ht="16.5">
      <c r="AJ821" s="71"/>
      <c r="AK821" s="84"/>
      <c r="AL821" s="84"/>
    </row>
    <row r="822" spans="36:38" ht="16.5">
      <c r="AJ822" s="71"/>
      <c r="AK822" s="84"/>
      <c r="AL822" s="84"/>
    </row>
    <row r="823" spans="36:38" ht="16.5">
      <c r="AJ823" s="71"/>
      <c r="AK823" s="84"/>
      <c r="AL823" s="84"/>
    </row>
    <row r="824" spans="36:38" ht="16.5">
      <c r="AJ824" s="71"/>
      <c r="AK824" s="84"/>
      <c r="AL824" s="84"/>
    </row>
    <row r="825" spans="36:38" ht="16.5">
      <c r="AJ825" s="71"/>
      <c r="AK825" s="84"/>
      <c r="AL825" s="84"/>
    </row>
    <row r="826" spans="36:38" ht="16.5">
      <c r="AJ826" s="71"/>
      <c r="AK826" s="84"/>
      <c r="AL826" s="84"/>
    </row>
    <row r="827" spans="36:38" ht="16.5">
      <c r="AJ827" s="71"/>
      <c r="AK827" s="84"/>
      <c r="AL827" s="84"/>
    </row>
    <row r="828" spans="36:38" ht="16.5">
      <c r="AJ828" s="71"/>
      <c r="AK828" s="84"/>
      <c r="AL828" s="84"/>
    </row>
    <row r="829" spans="36:38" ht="16.5">
      <c r="AJ829" s="71"/>
      <c r="AK829" s="84"/>
      <c r="AL829" s="84"/>
    </row>
    <row r="830" spans="36:38" ht="16.5">
      <c r="AJ830" s="71"/>
      <c r="AK830" s="84"/>
      <c r="AL830" s="84"/>
    </row>
    <row r="831" spans="36:38" ht="16.5">
      <c r="AJ831" s="71"/>
      <c r="AK831" s="84"/>
      <c r="AL831" s="84"/>
    </row>
    <row r="832" spans="36:38" ht="16.5">
      <c r="AJ832" s="71"/>
      <c r="AK832" s="84"/>
      <c r="AL832" s="84"/>
    </row>
    <row r="833" spans="36:38" ht="16.5">
      <c r="AJ833" s="71"/>
      <c r="AK833" s="84"/>
      <c r="AL833" s="84"/>
    </row>
    <row r="834" spans="36:38" ht="16.5">
      <c r="AJ834" s="71"/>
      <c r="AK834" s="84"/>
      <c r="AL834" s="84"/>
    </row>
    <row r="835" spans="36:38" ht="16.5">
      <c r="AJ835" s="71"/>
      <c r="AK835" s="84"/>
      <c r="AL835" s="84"/>
    </row>
    <row r="836" spans="36:38" ht="16.5">
      <c r="AJ836" s="71"/>
      <c r="AK836" s="84"/>
      <c r="AL836" s="84"/>
    </row>
    <row r="837" spans="36:38" ht="16.5">
      <c r="AJ837" s="71"/>
      <c r="AK837" s="84"/>
      <c r="AL837" s="84"/>
    </row>
    <row r="838" spans="36:38" ht="16.5">
      <c r="AJ838" s="71"/>
      <c r="AK838" s="84"/>
      <c r="AL838" s="84"/>
    </row>
    <row r="839" spans="36:38" ht="16.5">
      <c r="AJ839" s="71"/>
      <c r="AK839" s="84"/>
      <c r="AL839" s="84"/>
    </row>
    <row r="840" spans="36:38" ht="16.5">
      <c r="AJ840" s="71"/>
      <c r="AK840" s="84"/>
      <c r="AL840" s="84"/>
    </row>
    <row r="841" spans="36:38" ht="16.5">
      <c r="AJ841" s="71"/>
      <c r="AK841" s="84"/>
      <c r="AL841" s="84"/>
    </row>
    <row r="842" spans="36:38" ht="16.5">
      <c r="AJ842" s="71"/>
      <c r="AK842" s="84"/>
      <c r="AL842" s="84"/>
    </row>
    <row r="843" spans="36:38" ht="16.5">
      <c r="AJ843" s="71"/>
      <c r="AK843" s="84"/>
      <c r="AL843" s="84"/>
    </row>
    <row r="844" spans="36:38" ht="16.5">
      <c r="AJ844" s="71"/>
      <c r="AK844" s="84"/>
      <c r="AL844" s="84"/>
    </row>
    <row r="845" spans="36:38" ht="16.5">
      <c r="AJ845" s="71"/>
      <c r="AK845" s="84"/>
      <c r="AL845" s="84"/>
    </row>
    <row r="846" spans="36:38" ht="16.5">
      <c r="AJ846" s="71"/>
      <c r="AK846" s="84"/>
      <c r="AL846" s="84"/>
    </row>
    <row r="847" spans="36:38" ht="16.5">
      <c r="AJ847" s="71"/>
      <c r="AK847" s="84"/>
      <c r="AL847" s="84"/>
    </row>
    <row r="848" spans="36:38" ht="16.5">
      <c r="AJ848" s="71"/>
      <c r="AK848" s="84"/>
      <c r="AL848" s="84"/>
    </row>
    <row r="849" spans="36:38" ht="16.5">
      <c r="AJ849" s="71"/>
      <c r="AK849" s="84"/>
      <c r="AL849" s="84"/>
    </row>
    <row r="850" spans="36:38" ht="16.5">
      <c r="AJ850" s="71"/>
      <c r="AK850" s="84"/>
      <c r="AL850" s="84"/>
    </row>
    <row r="851" spans="36:38" ht="16.5">
      <c r="AJ851" s="71"/>
      <c r="AK851" s="84"/>
      <c r="AL851" s="84"/>
    </row>
    <row r="852" spans="36:38" ht="16.5">
      <c r="AJ852" s="71"/>
      <c r="AK852" s="84"/>
      <c r="AL852" s="84"/>
    </row>
    <row r="853" spans="36:38" ht="16.5">
      <c r="AJ853" s="71"/>
      <c r="AK853" s="84"/>
      <c r="AL853" s="84"/>
    </row>
    <row r="854" spans="36:38" ht="16.5">
      <c r="AJ854" s="71"/>
      <c r="AK854" s="84"/>
      <c r="AL854" s="84"/>
    </row>
    <row r="855" spans="36:38" ht="16.5">
      <c r="AJ855" s="71"/>
      <c r="AK855" s="84"/>
      <c r="AL855" s="84"/>
    </row>
    <row r="856" spans="36:38" ht="16.5">
      <c r="AJ856" s="71"/>
      <c r="AK856" s="84"/>
      <c r="AL856" s="84"/>
    </row>
    <row r="857" spans="36:38" ht="16.5">
      <c r="AJ857" s="71"/>
      <c r="AK857" s="84"/>
      <c r="AL857" s="84"/>
    </row>
    <row r="858" spans="36:38" ht="16.5">
      <c r="AJ858" s="71"/>
      <c r="AK858" s="84"/>
      <c r="AL858" s="84"/>
    </row>
    <row r="859" spans="36:38" ht="16.5">
      <c r="AJ859" s="71"/>
      <c r="AK859" s="84"/>
      <c r="AL859" s="84"/>
    </row>
    <row r="860" spans="36:38" ht="16.5">
      <c r="AJ860" s="71"/>
      <c r="AK860" s="84"/>
      <c r="AL860" s="84"/>
    </row>
    <row r="861" spans="36:38" ht="16.5">
      <c r="AJ861" s="71"/>
      <c r="AK861" s="84"/>
      <c r="AL861" s="84"/>
    </row>
    <row r="862" spans="36:38" ht="16.5">
      <c r="AJ862" s="71"/>
      <c r="AK862" s="84"/>
      <c r="AL862" s="84"/>
    </row>
    <row r="863" spans="36:38" ht="16.5">
      <c r="AJ863" s="71"/>
      <c r="AK863" s="84"/>
      <c r="AL863" s="84"/>
    </row>
    <row r="864" spans="36:38" ht="16.5">
      <c r="AJ864" s="71"/>
      <c r="AK864" s="84"/>
      <c r="AL864" s="84"/>
    </row>
    <row r="865" spans="36:38" ht="16.5">
      <c r="AJ865" s="71"/>
      <c r="AK865" s="84"/>
      <c r="AL865" s="84"/>
    </row>
    <row r="866" spans="36:38" ht="16.5">
      <c r="AJ866" s="71"/>
      <c r="AK866" s="84"/>
      <c r="AL866" s="84"/>
    </row>
    <row r="867" spans="36:38" ht="16.5">
      <c r="AJ867" s="71"/>
      <c r="AK867" s="84"/>
      <c r="AL867" s="84"/>
    </row>
    <row r="868" spans="36:38" ht="16.5">
      <c r="AJ868" s="71"/>
      <c r="AK868" s="84"/>
      <c r="AL868" s="84"/>
    </row>
    <row r="869" spans="36:38" ht="16.5">
      <c r="AJ869" s="71"/>
      <c r="AK869" s="84"/>
      <c r="AL869" s="84"/>
    </row>
    <row r="870" spans="36:38" ht="16.5">
      <c r="AJ870" s="71"/>
      <c r="AK870" s="84"/>
      <c r="AL870" s="84"/>
    </row>
    <row r="871" spans="36:38" ht="16.5">
      <c r="AJ871" s="71"/>
      <c r="AK871" s="84"/>
      <c r="AL871" s="84"/>
    </row>
    <row r="872" spans="36:38" ht="16.5">
      <c r="AJ872" s="71"/>
      <c r="AK872" s="84"/>
      <c r="AL872" s="84"/>
    </row>
    <row r="873" spans="36:38" ht="16.5">
      <c r="AJ873" s="71"/>
      <c r="AK873" s="84"/>
      <c r="AL873" s="84"/>
    </row>
    <row r="874" spans="36:38" ht="16.5">
      <c r="AJ874" s="71"/>
      <c r="AK874" s="84"/>
      <c r="AL874" s="84"/>
    </row>
    <row r="875" spans="36:38" ht="16.5">
      <c r="AJ875" s="71"/>
      <c r="AK875" s="84"/>
      <c r="AL875" s="84"/>
    </row>
    <row r="876" spans="36:38" ht="16.5">
      <c r="AJ876" s="71"/>
      <c r="AK876" s="84"/>
      <c r="AL876" s="84"/>
    </row>
    <row r="877" spans="36:38" ht="16.5">
      <c r="AJ877" s="71"/>
      <c r="AK877" s="84"/>
      <c r="AL877" s="84"/>
    </row>
    <row r="878" spans="36:38" ht="16.5">
      <c r="AJ878" s="71"/>
      <c r="AK878" s="84"/>
      <c r="AL878" s="84"/>
    </row>
    <row r="879" spans="36:38" ht="16.5">
      <c r="AJ879" s="71"/>
      <c r="AK879" s="84"/>
      <c r="AL879" s="84"/>
    </row>
    <row r="880" spans="36:38" ht="16.5">
      <c r="AJ880" s="71"/>
      <c r="AK880" s="84"/>
      <c r="AL880" s="84"/>
    </row>
    <row r="881" spans="36:38" ht="16.5">
      <c r="AJ881" s="71"/>
      <c r="AK881" s="84"/>
      <c r="AL881" s="84"/>
    </row>
    <row r="882" spans="36:38" ht="16.5">
      <c r="AJ882" s="71"/>
      <c r="AK882" s="84"/>
      <c r="AL882" s="84"/>
    </row>
    <row r="883" spans="36:38" ht="16.5">
      <c r="AJ883" s="71"/>
      <c r="AK883" s="84"/>
      <c r="AL883" s="84"/>
    </row>
    <row r="884" spans="36:38" ht="16.5">
      <c r="AJ884" s="71"/>
      <c r="AK884" s="84"/>
      <c r="AL884" s="84"/>
    </row>
    <row r="885" spans="36:38" ht="16.5">
      <c r="AJ885" s="71"/>
      <c r="AK885" s="84"/>
      <c r="AL885" s="84"/>
    </row>
    <row r="886" spans="36:38" ht="16.5">
      <c r="AJ886" s="71"/>
      <c r="AK886" s="84"/>
      <c r="AL886" s="84"/>
    </row>
    <row r="887" spans="36:38" ht="16.5">
      <c r="AJ887" s="71"/>
      <c r="AK887" s="84"/>
      <c r="AL887" s="84"/>
    </row>
    <row r="888" spans="36:38" ht="16.5">
      <c r="AJ888" s="71"/>
      <c r="AK888" s="84"/>
      <c r="AL888" s="84"/>
    </row>
    <row r="889" spans="36:38" ht="16.5">
      <c r="AJ889" s="71"/>
      <c r="AK889" s="84"/>
      <c r="AL889" s="84"/>
    </row>
    <row r="890" spans="36:38" ht="16.5">
      <c r="AJ890" s="71"/>
      <c r="AK890" s="84"/>
      <c r="AL890" s="84"/>
    </row>
    <row r="891" spans="36:38" ht="16.5">
      <c r="AJ891" s="71"/>
      <c r="AK891" s="84"/>
      <c r="AL891" s="84"/>
    </row>
    <row r="892" spans="36:38" ht="16.5">
      <c r="AJ892" s="71"/>
      <c r="AK892" s="84"/>
      <c r="AL892" s="84"/>
    </row>
    <row r="893" spans="36:38" ht="16.5">
      <c r="AJ893" s="71"/>
      <c r="AK893" s="84"/>
      <c r="AL893" s="84"/>
    </row>
    <row r="894" spans="36:38" ht="16.5">
      <c r="AJ894" s="71"/>
      <c r="AK894" s="84"/>
      <c r="AL894" s="84"/>
    </row>
    <row r="895" spans="36:38" ht="16.5">
      <c r="AJ895" s="71"/>
      <c r="AK895" s="84"/>
      <c r="AL895" s="84"/>
    </row>
    <row r="896" spans="36:38" ht="16.5">
      <c r="AJ896" s="71"/>
      <c r="AK896" s="84"/>
      <c r="AL896" s="84"/>
    </row>
    <row r="897" spans="36:38" ht="16.5">
      <c r="AJ897" s="71"/>
      <c r="AK897" s="84"/>
      <c r="AL897" s="84"/>
    </row>
    <row r="898" spans="36:38" ht="16.5">
      <c r="AJ898" s="71"/>
      <c r="AK898" s="84"/>
      <c r="AL898" s="84"/>
    </row>
    <row r="899" spans="36:38" ht="16.5">
      <c r="AJ899" s="71"/>
      <c r="AK899" s="84"/>
      <c r="AL899" s="84"/>
    </row>
    <row r="900" spans="36:38" ht="16.5">
      <c r="AJ900" s="71"/>
      <c r="AK900" s="84"/>
      <c r="AL900" s="84"/>
    </row>
    <row r="901" spans="36:38" ht="16.5">
      <c r="AJ901" s="71"/>
      <c r="AK901" s="84"/>
      <c r="AL901" s="84"/>
    </row>
    <row r="902" spans="36:38" ht="16.5">
      <c r="AJ902" s="71"/>
      <c r="AK902" s="84"/>
      <c r="AL902" s="84"/>
    </row>
    <row r="903" spans="36:38" ht="16.5">
      <c r="AJ903" s="71"/>
      <c r="AK903" s="84"/>
      <c r="AL903" s="84"/>
    </row>
    <row r="904" spans="36:38" ht="16.5">
      <c r="AJ904" s="71"/>
      <c r="AK904" s="84"/>
      <c r="AL904" s="84"/>
    </row>
    <row r="905" spans="36:38" ht="16.5">
      <c r="AJ905" s="71"/>
      <c r="AK905" s="84"/>
      <c r="AL905" s="84"/>
    </row>
    <row r="906" spans="36:38" ht="16.5">
      <c r="AJ906" s="71"/>
      <c r="AK906" s="84"/>
      <c r="AL906" s="84"/>
    </row>
    <row r="907" spans="36:38" ht="16.5">
      <c r="AJ907" s="71"/>
      <c r="AK907" s="84"/>
      <c r="AL907" s="84"/>
    </row>
    <row r="908" spans="36:38" ht="16.5">
      <c r="AJ908" s="71"/>
      <c r="AK908" s="84"/>
      <c r="AL908" s="84"/>
    </row>
    <row r="909" spans="36:38" ht="16.5">
      <c r="AJ909" s="71"/>
      <c r="AK909" s="84"/>
      <c r="AL909" s="84"/>
    </row>
    <row r="910" spans="36:38" ht="16.5">
      <c r="AJ910" s="71"/>
      <c r="AK910" s="84"/>
      <c r="AL910" s="84"/>
    </row>
    <row r="911" spans="36:38" ht="16.5">
      <c r="AJ911" s="71"/>
      <c r="AK911" s="84"/>
      <c r="AL911" s="84"/>
    </row>
    <row r="912" spans="36:38" ht="16.5">
      <c r="AJ912" s="71"/>
      <c r="AK912" s="84"/>
      <c r="AL912" s="84"/>
    </row>
    <row r="913" spans="36:38" ht="16.5">
      <c r="AJ913" s="71"/>
      <c r="AK913" s="84"/>
      <c r="AL913" s="84"/>
    </row>
    <row r="914" spans="36:38" ht="16.5">
      <c r="AJ914" s="71"/>
      <c r="AK914" s="84"/>
      <c r="AL914" s="84"/>
    </row>
    <row r="915" spans="36:38" ht="16.5">
      <c r="AJ915" s="71"/>
      <c r="AK915" s="84"/>
      <c r="AL915" s="84"/>
    </row>
    <row r="916" spans="36:38" ht="16.5">
      <c r="AJ916" s="71"/>
      <c r="AK916" s="84"/>
      <c r="AL916" s="84"/>
    </row>
    <row r="917" spans="36:38" ht="16.5">
      <c r="AJ917" s="71"/>
      <c r="AK917" s="84"/>
      <c r="AL917" s="84"/>
    </row>
    <row r="918" spans="36:38" ht="16.5">
      <c r="AJ918" s="71"/>
      <c r="AK918" s="84"/>
      <c r="AL918" s="84"/>
    </row>
    <row r="919" spans="36:38" ht="16.5">
      <c r="AJ919" s="71"/>
      <c r="AK919" s="84"/>
      <c r="AL919" s="84"/>
    </row>
    <row r="920" spans="36:38" ht="16.5">
      <c r="AJ920" s="71"/>
      <c r="AK920" s="84"/>
      <c r="AL920" s="84"/>
    </row>
    <row r="921" spans="36:38" ht="16.5">
      <c r="AJ921" s="71"/>
      <c r="AK921" s="84"/>
      <c r="AL921" s="84"/>
    </row>
    <row r="922" spans="36:38" ht="16.5">
      <c r="AJ922" s="71"/>
      <c r="AK922" s="84"/>
      <c r="AL922" s="84"/>
    </row>
    <row r="923" spans="36:38" ht="16.5">
      <c r="AJ923" s="71"/>
      <c r="AK923" s="84"/>
      <c r="AL923" s="84"/>
    </row>
    <row r="924" spans="36:38" ht="16.5">
      <c r="AJ924" s="71"/>
      <c r="AK924" s="84"/>
      <c r="AL924" s="84"/>
    </row>
    <row r="925" spans="36:38" ht="16.5">
      <c r="AJ925" s="71"/>
      <c r="AK925" s="84"/>
      <c r="AL925" s="84"/>
    </row>
    <row r="926" spans="36:38" ht="16.5">
      <c r="AJ926" s="71"/>
      <c r="AK926" s="84"/>
      <c r="AL926" s="84"/>
    </row>
    <row r="927" spans="36:38" ht="16.5">
      <c r="AJ927" s="71"/>
      <c r="AK927" s="84"/>
      <c r="AL927" s="84"/>
    </row>
    <row r="928" spans="36:38" ht="16.5">
      <c r="AJ928" s="71"/>
      <c r="AK928" s="84"/>
      <c r="AL928" s="84"/>
    </row>
    <row r="929" spans="36:38" ht="16.5">
      <c r="AJ929" s="71"/>
      <c r="AK929" s="84"/>
      <c r="AL929" s="84"/>
    </row>
    <row r="930" spans="36:38" ht="16.5">
      <c r="AJ930" s="71"/>
      <c r="AK930" s="84"/>
      <c r="AL930" s="84"/>
    </row>
    <row r="931" spans="36:38" ht="16.5">
      <c r="AJ931" s="71"/>
      <c r="AK931" s="84"/>
      <c r="AL931" s="84"/>
    </row>
    <row r="932" spans="36:38" ht="16.5">
      <c r="AJ932" s="71"/>
      <c r="AK932" s="84"/>
      <c r="AL932" s="84"/>
    </row>
    <row r="933" spans="36:38" ht="16.5">
      <c r="AJ933" s="71"/>
      <c r="AK933" s="84"/>
      <c r="AL933" s="84"/>
    </row>
    <row r="934" spans="36:38" ht="16.5">
      <c r="AJ934" s="71"/>
      <c r="AK934" s="84"/>
      <c r="AL934" s="84"/>
    </row>
    <row r="935" spans="36:38" ht="16.5">
      <c r="AJ935" s="71"/>
      <c r="AK935" s="84"/>
      <c r="AL935" s="84"/>
    </row>
    <row r="936" spans="36:38" ht="16.5">
      <c r="AJ936" s="71"/>
      <c r="AK936" s="84"/>
      <c r="AL936" s="84"/>
    </row>
    <row r="937" spans="36:38" ht="16.5">
      <c r="AJ937" s="71"/>
      <c r="AK937" s="84"/>
      <c r="AL937" s="84"/>
    </row>
    <row r="938" spans="36:38" ht="16.5">
      <c r="AJ938" s="71"/>
      <c r="AK938" s="84"/>
      <c r="AL938" s="84"/>
    </row>
    <row r="939" spans="36:38" ht="16.5">
      <c r="AJ939" s="71"/>
      <c r="AK939" s="84"/>
      <c r="AL939" s="84"/>
    </row>
    <row r="940" spans="36:38" ht="16.5">
      <c r="AJ940" s="71"/>
      <c r="AK940" s="84"/>
      <c r="AL940" s="84"/>
    </row>
    <row r="941" spans="36:38" ht="16.5">
      <c r="AJ941" s="71"/>
      <c r="AK941" s="84"/>
      <c r="AL941" s="84"/>
    </row>
    <row r="942" spans="36:38" ht="16.5">
      <c r="AJ942" s="71"/>
      <c r="AK942" s="84"/>
      <c r="AL942" s="84"/>
    </row>
    <row r="943" spans="36:38" ht="16.5">
      <c r="AJ943" s="71"/>
      <c r="AK943" s="84"/>
      <c r="AL943" s="84"/>
    </row>
    <row r="944" spans="36:38" ht="16.5">
      <c r="AJ944" s="71"/>
      <c r="AK944" s="84"/>
      <c r="AL944" s="84"/>
    </row>
    <row r="945" spans="36:38" ht="16.5">
      <c r="AJ945" s="71"/>
      <c r="AK945" s="84"/>
      <c r="AL945" s="84"/>
    </row>
    <row r="946" spans="36:38" ht="16.5">
      <c r="AJ946" s="71"/>
      <c r="AK946" s="84"/>
      <c r="AL946" s="84"/>
    </row>
    <row r="947" spans="36:38" ht="16.5">
      <c r="AJ947" s="71"/>
      <c r="AK947" s="84"/>
      <c r="AL947" s="84"/>
    </row>
    <row r="948" spans="36:38" ht="16.5">
      <c r="AJ948" s="71"/>
      <c r="AK948" s="84"/>
      <c r="AL948" s="84"/>
    </row>
    <row r="949" spans="36:38" ht="16.5">
      <c r="AJ949" s="71"/>
      <c r="AK949" s="84"/>
      <c r="AL949" s="84"/>
    </row>
    <row r="950" spans="36:38" ht="16.5">
      <c r="AJ950" s="71"/>
      <c r="AK950" s="84"/>
      <c r="AL950" s="84"/>
    </row>
    <row r="951" spans="36:38" ht="16.5">
      <c r="AJ951" s="71"/>
      <c r="AK951" s="84"/>
      <c r="AL951" s="84"/>
    </row>
    <row r="952" spans="36:38" ht="16.5">
      <c r="AJ952" s="71"/>
      <c r="AK952" s="84"/>
      <c r="AL952" s="84"/>
    </row>
    <row r="953" spans="36:38" ht="16.5">
      <c r="AJ953" s="71"/>
      <c r="AK953" s="84"/>
      <c r="AL953" s="84"/>
    </row>
    <row r="954" spans="36:38" ht="16.5">
      <c r="AJ954" s="71"/>
      <c r="AK954" s="84"/>
      <c r="AL954" s="84"/>
    </row>
    <row r="955" spans="36:38" ht="16.5">
      <c r="AJ955" s="71"/>
      <c r="AK955" s="84"/>
      <c r="AL955" s="84"/>
    </row>
    <row r="956" spans="36:38" ht="16.5">
      <c r="AJ956" s="71"/>
      <c r="AK956" s="84"/>
      <c r="AL956" s="84"/>
    </row>
    <row r="957" spans="36:38" ht="16.5">
      <c r="AJ957" s="71"/>
      <c r="AK957" s="84"/>
      <c r="AL957" s="84"/>
    </row>
    <row r="958" spans="36:38" ht="16.5">
      <c r="AJ958" s="71"/>
      <c r="AK958" s="84"/>
      <c r="AL958" s="84"/>
    </row>
    <row r="959" spans="36:38" ht="16.5">
      <c r="AJ959" s="71"/>
      <c r="AK959" s="84"/>
      <c r="AL959" s="84"/>
    </row>
    <row r="960" spans="36:38" ht="16.5">
      <c r="AJ960" s="71"/>
      <c r="AK960" s="84"/>
      <c r="AL960" s="84"/>
    </row>
    <row r="961" spans="36:38" ht="16.5">
      <c r="AJ961" s="71"/>
      <c r="AK961" s="84"/>
      <c r="AL961" s="84"/>
    </row>
    <row r="962" spans="36:38" ht="16.5">
      <c r="AJ962" s="71"/>
      <c r="AK962" s="84"/>
      <c r="AL962" s="84"/>
    </row>
    <row r="963" spans="36:38" ht="16.5">
      <c r="AJ963" s="71"/>
      <c r="AK963" s="84"/>
      <c r="AL963" s="84"/>
    </row>
    <row r="964" spans="36:38" ht="16.5">
      <c r="AJ964" s="71"/>
      <c r="AK964" s="84"/>
      <c r="AL964" s="84"/>
    </row>
    <row r="965" spans="36:38" ht="16.5">
      <c r="AJ965" s="71"/>
      <c r="AK965" s="84"/>
      <c r="AL965" s="84"/>
    </row>
    <row r="966" spans="36:38" ht="16.5">
      <c r="AJ966" s="71"/>
      <c r="AK966" s="84"/>
      <c r="AL966" s="84"/>
    </row>
    <row r="967" spans="36:38" ht="16.5">
      <c r="AJ967" s="71"/>
      <c r="AK967" s="84"/>
      <c r="AL967" s="84"/>
    </row>
    <row r="968" spans="36:38" ht="16.5">
      <c r="AJ968" s="71"/>
      <c r="AK968" s="84"/>
      <c r="AL968" s="84"/>
    </row>
    <row r="969" spans="36:38" ht="16.5">
      <c r="AJ969" s="71"/>
      <c r="AK969" s="84"/>
      <c r="AL969" s="84"/>
    </row>
    <row r="970" spans="36:38" ht="16.5">
      <c r="AJ970" s="71"/>
      <c r="AK970" s="84"/>
      <c r="AL970" s="84"/>
    </row>
    <row r="971" spans="36:38" ht="16.5">
      <c r="AJ971" s="71"/>
      <c r="AK971" s="84"/>
      <c r="AL971" s="84"/>
    </row>
    <row r="972" spans="36:38" ht="16.5">
      <c r="AJ972" s="71"/>
      <c r="AK972" s="84"/>
      <c r="AL972" s="84"/>
    </row>
    <row r="973" spans="36:38" ht="16.5">
      <c r="AJ973" s="71"/>
      <c r="AK973" s="84"/>
      <c r="AL973" s="84"/>
    </row>
    <row r="974" spans="36:38" ht="16.5">
      <c r="AJ974" s="71"/>
      <c r="AK974" s="84"/>
      <c r="AL974" s="84"/>
    </row>
    <row r="975" spans="36:38" ht="16.5">
      <c r="AJ975" s="71"/>
      <c r="AK975" s="84"/>
      <c r="AL975" s="84"/>
    </row>
    <row r="976" spans="36:38" ht="16.5">
      <c r="AJ976" s="71"/>
      <c r="AK976" s="84"/>
      <c r="AL976" s="84"/>
    </row>
    <row r="977" spans="36:38" ht="16.5">
      <c r="AJ977" s="71"/>
      <c r="AK977" s="84"/>
      <c r="AL977" s="84"/>
    </row>
    <row r="978" spans="36:38" ht="16.5">
      <c r="AJ978" s="71"/>
      <c r="AK978" s="84"/>
      <c r="AL978" s="84"/>
    </row>
    <row r="979" spans="36:38" ht="16.5">
      <c r="AJ979" s="71"/>
      <c r="AK979" s="84"/>
      <c r="AL979" s="84"/>
    </row>
    <row r="980" spans="36:38" ht="16.5">
      <c r="AJ980" s="71"/>
      <c r="AK980" s="84"/>
      <c r="AL980" s="84"/>
    </row>
    <row r="981" spans="36:38" ht="16.5">
      <c r="AJ981" s="71"/>
      <c r="AK981" s="84"/>
      <c r="AL981" s="84"/>
    </row>
    <row r="982" spans="36:38" ht="16.5">
      <c r="AJ982" s="71"/>
      <c r="AK982" s="84"/>
      <c r="AL982" s="84"/>
    </row>
    <row r="983" spans="36:38" ht="16.5">
      <c r="AJ983" s="71"/>
      <c r="AK983" s="84"/>
      <c r="AL983" s="84"/>
    </row>
    <row r="984" spans="36:38" ht="16.5">
      <c r="AJ984" s="71"/>
      <c r="AK984" s="84"/>
      <c r="AL984" s="84"/>
    </row>
    <row r="985" spans="36:38" ht="16.5">
      <c r="AJ985" s="71"/>
      <c r="AK985" s="84"/>
      <c r="AL985" s="84"/>
    </row>
    <row r="986" spans="36:38" ht="16.5">
      <c r="AJ986" s="71"/>
      <c r="AK986" s="84"/>
      <c r="AL986" s="84"/>
    </row>
    <row r="987" spans="36:38" ht="16.5">
      <c r="AJ987" s="71"/>
      <c r="AK987" s="84"/>
      <c r="AL987" s="84"/>
    </row>
    <row r="988" spans="36:38" ht="16.5">
      <c r="AJ988" s="71"/>
      <c r="AK988" s="84"/>
      <c r="AL988" s="84"/>
    </row>
    <row r="989" spans="36:38" ht="16.5">
      <c r="AJ989" s="71"/>
      <c r="AK989" s="84"/>
      <c r="AL989" s="84"/>
    </row>
    <row r="990" spans="36:38" ht="16.5">
      <c r="AJ990" s="71"/>
      <c r="AK990" s="84"/>
      <c r="AL990" s="84"/>
    </row>
    <row r="991" spans="36:38" ht="16.5">
      <c r="AJ991" s="71"/>
      <c r="AK991" s="84"/>
      <c r="AL991" s="84"/>
    </row>
    <row r="992" spans="36:38" ht="16.5">
      <c r="AJ992" s="71"/>
      <c r="AK992" s="84"/>
      <c r="AL992" s="84"/>
    </row>
    <row r="993" spans="36:38" ht="16.5">
      <c r="AJ993" s="71"/>
      <c r="AK993" s="84"/>
      <c r="AL993" s="84"/>
    </row>
    <row r="994" spans="36:38" ht="16.5">
      <c r="AJ994" s="71"/>
      <c r="AK994" s="84"/>
      <c r="AL994" s="84"/>
    </row>
    <row r="995" spans="36:38" ht="16.5">
      <c r="AJ995" s="71"/>
      <c r="AK995" s="84"/>
      <c r="AL995" s="84"/>
    </row>
    <row r="996" spans="36:38" ht="16.5">
      <c r="AJ996" s="71"/>
      <c r="AK996" s="84"/>
      <c r="AL996" s="84"/>
    </row>
    <row r="997" spans="36:38" ht="16.5">
      <c r="AJ997" s="71"/>
      <c r="AK997" s="84"/>
      <c r="AL997" s="84"/>
    </row>
    <row r="998" spans="36:38" ht="16.5">
      <c r="AJ998" s="71"/>
      <c r="AK998" s="84"/>
      <c r="AL998" s="84"/>
    </row>
    <row r="999" spans="36:38" ht="16.5">
      <c r="AJ999" s="71"/>
      <c r="AK999" s="84"/>
      <c r="AL999" s="84"/>
    </row>
    <row r="1000" spans="36:38" ht="16.5">
      <c r="AJ1000" s="71"/>
      <c r="AK1000" s="84"/>
      <c r="AL1000" s="84"/>
    </row>
    <row r="1001" spans="36:38" ht="16.5">
      <c r="AJ1001" s="71"/>
      <c r="AK1001" s="84"/>
      <c r="AL1001" s="84"/>
    </row>
    <row r="1002" spans="36:38" ht="16.5">
      <c r="AJ1002" s="71"/>
      <c r="AK1002" s="84"/>
      <c r="AL1002" s="84"/>
    </row>
    <row r="1003" spans="36:38" ht="16.5">
      <c r="AJ1003" s="71"/>
      <c r="AK1003" s="84"/>
      <c r="AL1003" s="84"/>
    </row>
    <row r="1004" spans="36:38" ht="16.5">
      <c r="AJ1004" s="71"/>
      <c r="AK1004" s="84"/>
      <c r="AL1004" s="84"/>
    </row>
    <row r="1005" spans="36:38" ht="16.5">
      <c r="AJ1005" s="71"/>
      <c r="AK1005" s="84"/>
      <c r="AL1005" s="84"/>
    </row>
    <row r="1006" spans="36:38" ht="16.5">
      <c r="AJ1006" s="71"/>
      <c r="AK1006" s="84"/>
      <c r="AL1006" s="84"/>
    </row>
    <row r="1007" spans="36:38" ht="16.5">
      <c r="AJ1007" s="71"/>
      <c r="AK1007" s="84"/>
      <c r="AL1007" s="84"/>
    </row>
    <row r="1008" spans="36:38" ht="16.5">
      <c r="AJ1008" s="71"/>
      <c r="AK1008" s="84"/>
      <c r="AL1008" s="84"/>
    </row>
    <row r="1009" spans="36:38" ht="16.5">
      <c r="AJ1009" s="71"/>
      <c r="AK1009" s="84"/>
      <c r="AL1009" s="84"/>
    </row>
    <row r="1010" spans="36:38" ht="16.5">
      <c r="AJ1010" s="71"/>
      <c r="AK1010" s="84"/>
      <c r="AL1010" s="84"/>
    </row>
    <row r="1011" spans="36:38" ht="16.5">
      <c r="AJ1011" s="71"/>
      <c r="AK1011" s="84"/>
      <c r="AL1011" s="84"/>
    </row>
    <row r="1012" spans="36:38" ht="16.5">
      <c r="AJ1012" s="71"/>
      <c r="AK1012" s="84"/>
      <c r="AL1012" s="84"/>
    </row>
    <row r="1013" spans="36:38" ht="16.5">
      <c r="AJ1013" s="71"/>
      <c r="AK1013" s="84"/>
      <c r="AL1013" s="84"/>
    </row>
    <row r="1014" spans="36:38" ht="16.5">
      <c r="AJ1014" s="71"/>
      <c r="AK1014" s="84"/>
      <c r="AL1014" s="84"/>
    </row>
    <row r="1015" spans="36:38" ht="16.5">
      <c r="AJ1015" s="71"/>
      <c r="AK1015" s="84"/>
      <c r="AL1015" s="84"/>
    </row>
    <row r="1016" spans="36:38" ht="16.5">
      <c r="AJ1016" s="71"/>
      <c r="AK1016" s="84"/>
      <c r="AL1016" s="84"/>
    </row>
    <row r="1017" spans="36:38" ht="16.5">
      <c r="AJ1017" s="71"/>
      <c r="AK1017" s="84"/>
      <c r="AL1017" s="84"/>
    </row>
    <row r="1018" spans="36:38" ht="16.5">
      <c r="AJ1018" s="71"/>
      <c r="AK1018" s="84"/>
      <c r="AL1018" s="84"/>
    </row>
    <row r="1019" spans="36:38" ht="16.5">
      <c r="AJ1019" s="71"/>
      <c r="AK1019" s="84"/>
      <c r="AL1019" s="84"/>
    </row>
    <row r="1020" spans="36:38" ht="16.5">
      <c r="AJ1020" s="71"/>
      <c r="AK1020" s="84"/>
      <c r="AL1020" s="84"/>
    </row>
    <row r="1021" spans="36:38" ht="16.5">
      <c r="AJ1021" s="71"/>
      <c r="AK1021" s="84"/>
      <c r="AL1021" s="84"/>
    </row>
    <row r="1022" spans="36:38" ht="16.5">
      <c r="AJ1022" s="71"/>
      <c r="AK1022" s="84"/>
      <c r="AL1022" s="84"/>
    </row>
    <row r="1023" spans="36:38" ht="16.5">
      <c r="AJ1023" s="71"/>
      <c r="AK1023" s="84"/>
      <c r="AL1023" s="84"/>
    </row>
    <row r="1024" spans="36:38" ht="16.5">
      <c r="AJ1024" s="71"/>
      <c r="AK1024" s="84"/>
      <c r="AL1024" s="84"/>
    </row>
    <row r="1025" spans="36:38" ht="16.5">
      <c r="AJ1025" s="71"/>
      <c r="AK1025" s="84"/>
      <c r="AL1025" s="84"/>
    </row>
    <row r="1026" spans="36:38" ht="16.5">
      <c r="AJ1026" s="71"/>
      <c r="AK1026" s="84"/>
      <c r="AL1026" s="84"/>
    </row>
    <row r="1027" spans="36:38" ht="16.5">
      <c r="AJ1027" s="71"/>
      <c r="AK1027" s="84"/>
      <c r="AL1027" s="84"/>
    </row>
    <row r="1028" spans="36:38" ht="16.5">
      <c r="AJ1028" s="71"/>
      <c r="AK1028" s="84"/>
      <c r="AL1028" s="84"/>
    </row>
    <row r="1029" spans="36:38" ht="16.5">
      <c r="AJ1029" s="71"/>
      <c r="AK1029" s="84"/>
      <c r="AL1029" s="84"/>
    </row>
    <row r="1030" spans="36:38" ht="16.5">
      <c r="AJ1030" s="71"/>
      <c r="AK1030" s="84"/>
      <c r="AL1030" s="84"/>
    </row>
    <row r="1031" spans="36:38" ht="16.5">
      <c r="AJ1031" s="71"/>
      <c r="AK1031" s="84"/>
      <c r="AL1031" s="84"/>
    </row>
    <row r="1032" spans="36:38" ht="16.5">
      <c r="AJ1032" s="71"/>
      <c r="AK1032" s="84"/>
      <c r="AL1032" s="84"/>
    </row>
    <row r="1033" spans="36:38" ht="16.5">
      <c r="AJ1033" s="71"/>
      <c r="AK1033" s="84"/>
      <c r="AL1033" s="84"/>
    </row>
    <row r="1034" spans="36:38" ht="16.5">
      <c r="AJ1034" s="71"/>
      <c r="AK1034" s="84"/>
      <c r="AL1034" s="84"/>
    </row>
    <row r="1035" spans="36:38" ht="16.5">
      <c r="AJ1035" s="71"/>
      <c r="AK1035" s="84"/>
      <c r="AL1035" s="84"/>
    </row>
    <row r="1036" spans="36:38" ht="16.5">
      <c r="AJ1036" s="71"/>
      <c r="AK1036" s="84"/>
      <c r="AL1036" s="84"/>
    </row>
    <row r="1037" spans="36:38" ht="16.5">
      <c r="AJ1037" s="71"/>
      <c r="AK1037" s="84"/>
      <c r="AL1037" s="84"/>
    </row>
    <row r="1038" spans="36:38" ht="16.5">
      <c r="AJ1038" s="71"/>
      <c r="AK1038" s="84"/>
      <c r="AL1038" s="84"/>
    </row>
    <row r="1039" spans="36:38" ht="16.5">
      <c r="AJ1039" s="71"/>
      <c r="AK1039" s="84"/>
      <c r="AL1039" s="84"/>
    </row>
    <row r="1040" spans="36:38" ht="16.5">
      <c r="AJ1040" s="71"/>
      <c r="AK1040" s="84"/>
      <c r="AL1040" s="84"/>
    </row>
    <row r="1041" spans="36:38" ht="16.5">
      <c r="AJ1041" s="71"/>
      <c r="AK1041" s="84"/>
      <c r="AL1041" s="84"/>
    </row>
    <row r="1042" spans="36:38" ht="16.5">
      <c r="AJ1042" s="71"/>
      <c r="AK1042" s="84"/>
      <c r="AL1042" s="84"/>
    </row>
    <row r="1043" spans="36:38" ht="16.5">
      <c r="AJ1043" s="71"/>
      <c r="AK1043" s="84"/>
      <c r="AL1043" s="84"/>
    </row>
    <row r="1044" spans="36:38" ht="16.5">
      <c r="AJ1044" s="71"/>
      <c r="AK1044" s="84"/>
      <c r="AL1044" s="84"/>
    </row>
    <row r="1045" spans="36:38" ht="16.5">
      <c r="AJ1045" s="71"/>
      <c r="AK1045" s="84"/>
      <c r="AL1045" s="84"/>
    </row>
    <row r="1046" spans="36:38" ht="16.5">
      <c r="AJ1046" s="71"/>
      <c r="AK1046" s="84"/>
      <c r="AL1046" s="84"/>
    </row>
    <row r="1047" spans="36:38" ht="16.5">
      <c r="AJ1047" s="71"/>
      <c r="AK1047" s="84"/>
      <c r="AL1047" s="84"/>
    </row>
    <row r="1048" spans="36:38" ht="16.5">
      <c r="AJ1048" s="71"/>
      <c r="AK1048" s="84"/>
      <c r="AL1048" s="84"/>
    </row>
    <row r="1049" spans="36:38" ht="16.5">
      <c r="AJ1049" s="71"/>
      <c r="AK1049" s="84"/>
      <c r="AL1049" s="84"/>
    </row>
    <row r="1050" spans="36:38" ht="16.5">
      <c r="AJ1050" s="71"/>
      <c r="AK1050" s="84"/>
      <c r="AL1050" s="84"/>
    </row>
    <row r="1051" spans="36:38" ht="16.5">
      <c r="AJ1051" s="71"/>
      <c r="AK1051" s="84"/>
      <c r="AL1051" s="84"/>
    </row>
    <row r="1052" spans="36:38" ht="16.5">
      <c r="AJ1052" s="71"/>
      <c r="AK1052" s="84"/>
      <c r="AL1052" s="84"/>
    </row>
    <row r="1053" spans="36:38" ht="16.5">
      <c r="AJ1053" s="71"/>
      <c r="AK1053" s="84"/>
      <c r="AL1053" s="84"/>
    </row>
    <row r="1054" spans="36:38" ht="16.5">
      <c r="AJ1054" s="71"/>
      <c r="AK1054" s="84"/>
      <c r="AL1054" s="84"/>
    </row>
    <row r="1055" spans="36:38" ht="16.5">
      <c r="AJ1055" s="71"/>
      <c r="AK1055" s="84"/>
      <c r="AL1055" s="84"/>
    </row>
    <row r="1056" spans="36:38" ht="16.5">
      <c r="AJ1056" s="71"/>
      <c r="AK1056" s="84"/>
      <c r="AL1056" s="84"/>
    </row>
    <row r="1057" spans="36:38" ht="16.5">
      <c r="AJ1057" s="71"/>
      <c r="AK1057" s="84"/>
      <c r="AL1057" s="84"/>
    </row>
    <row r="1058" spans="36:38" ht="16.5">
      <c r="AJ1058" s="71"/>
      <c r="AK1058" s="84"/>
      <c r="AL1058" s="84"/>
    </row>
    <row r="1059" spans="36:38" ht="16.5">
      <c r="AJ1059" s="71"/>
      <c r="AK1059" s="84"/>
      <c r="AL1059" s="84"/>
    </row>
    <row r="1060" spans="36:38" ht="16.5">
      <c r="AJ1060" s="71"/>
      <c r="AK1060" s="84"/>
      <c r="AL1060" s="84"/>
    </row>
    <row r="1061" spans="36:38" ht="16.5">
      <c r="AJ1061" s="71"/>
      <c r="AK1061" s="84"/>
      <c r="AL1061" s="84"/>
    </row>
    <row r="1062" spans="36:38" ht="16.5">
      <c r="AJ1062" s="71"/>
      <c r="AK1062" s="84"/>
      <c r="AL1062" s="84"/>
    </row>
    <row r="1063" spans="36:38" ht="16.5">
      <c r="AJ1063" s="71"/>
      <c r="AK1063" s="84"/>
      <c r="AL1063" s="84"/>
    </row>
    <row r="1064" spans="36:38" ht="16.5">
      <c r="AJ1064" s="71"/>
      <c r="AK1064" s="84"/>
      <c r="AL1064" s="84"/>
    </row>
    <row r="1065" spans="36:38" ht="16.5">
      <c r="AJ1065" s="71"/>
      <c r="AK1065" s="84"/>
      <c r="AL1065" s="84"/>
    </row>
    <row r="1066" spans="36:38" ht="16.5">
      <c r="AJ1066" s="71"/>
      <c r="AK1066" s="84"/>
      <c r="AL1066" s="84"/>
    </row>
    <row r="1067" spans="36:38" ht="16.5">
      <c r="AJ1067" s="71"/>
      <c r="AK1067" s="84"/>
      <c r="AL1067" s="84"/>
    </row>
    <row r="1068" spans="36:38" ht="16.5">
      <c r="AJ1068" s="71"/>
      <c r="AK1068" s="84"/>
      <c r="AL1068" s="84"/>
    </row>
    <row r="1069" spans="36:38" ht="16.5">
      <c r="AJ1069" s="71"/>
      <c r="AK1069" s="84"/>
      <c r="AL1069" s="84"/>
    </row>
    <row r="1070" spans="36:38" ht="16.5">
      <c r="AJ1070" s="71"/>
      <c r="AK1070" s="84"/>
      <c r="AL1070" s="84"/>
    </row>
    <row r="1071" spans="36:38" ht="16.5">
      <c r="AJ1071" s="71"/>
      <c r="AK1071" s="84"/>
      <c r="AL1071" s="84"/>
    </row>
    <row r="1072" spans="36:38" ht="16.5">
      <c r="AJ1072" s="71"/>
      <c r="AK1072" s="84"/>
      <c r="AL1072" s="84"/>
    </row>
    <row r="1073" spans="36:38" ht="16.5">
      <c r="AJ1073" s="71"/>
      <c r="AK1073" s="84"/>
      <c r="AL1073" s="84"/>
    </row>
    <row r="1074" spans="36:38" ht="16.5">
      <c r="AJ1074" s="71"/>
      <c r="AK1074" s="84"/>
      <c r="AL1074" s="84"/>
    </row>
    <row r="1075" spans="36:38" ht="16.5">
      <c r="AJ1075" s="71"/>
      <c r="AK1075" s="84"/>
      <c r="AL1075" s="84"/>
    </row>
    <row r="1076" spans="36:38" ht="16.5">
      <c r="AJ1076" s="71"/>
      <c r="AK1076" s="84"/>
      <c r="AL1076" s="84"/>
    </row>
    <row r="1077" spans="36:38" ht="16.5">
      <c r="AJ1077" s="71"/>
      <c r="AK1077" s="84"/>
      <c r="AL1077" s="84"/>
    </row>
    <row r="1078" spans="36:38" ht="16.5">
      <c r="AJ1078" s="71"/>
      <c r="AK1078" s="84"/>
      <c r="AL1078" s="84"/>
    </row>
    <row r="1079" spans="36:38" ht="16.5">
      <c r="AJ1079" s="71"/>
      <c r="AK1079" s="84"/>
      <c r="AL1079" s="84"/>
    </row>
    <row r="1080" spans="36:38" ht="16.5">
      <c r="AJ1080" s="71"/>
      <c r="AK1080" s="84"/>
      <c r="AL1080" s="84"/>
    </row>
    <row r="1081" spans="36:38" ht="16.5">
      <c r="AJ1081" s="71"/>
      <c r="AK1081" s="84"/>
      <c r="AL1081" s="84"/>
    </row>
    <row r="1082" spans="36:38" ht="16.5">
      <c r="AJ1082" s="71"/>
      <c r="AK1082" s="84"/>
      <c r="AL1082" s="84"/>
    </row>
    <row r="1083" spans="36:38" ht="16.5">
      <c r="AJ1083" s="71"/>
      <c r="AK1083" s="84"/>
      <c r="AL1083" s="84"/>
    </row>
    <row r="1084" spans="36:38" ht="16.5">
      <c r="AJ1084" s="71"/>
      <c r="AK1084" s="84"/>
      <c r="AL1084" s="84"/>
    </row>
    <row r="1085" spans="36:38" ht="16.5">
      <c r="AJ1085" s="71"/>
      <c r="AK1085" s="84"/>
      <c r="AL1085" s="84"/>
    </row>
    <row r="1086" spans="36:38" ht="16.5">
      <c r="AJ1086" s="71"/>
      <c r="AK1086" s="84"/>
      <c r="AL1086" s="84"/>
    </row>
    <row r="1087" spans="36:38" ht="16.5">
      <c r="AJ1087" s="71"/>
      <c r="AK1087" s="84"/>
      <c r="AL1087" s="84"/>
    </row>
    <row r="1088" spans="36:38" ht="16.5">
      <c r="AJ1088" s="71"/>
      <c r="AK1088" s="84"/>
      <c r="AL1088" s="84"/>
    </row>
    <row r="1089" spans="36:38" ht="16.5">
      <c r="AJ1089" s="71"/>
      <c r="AK1089" s="84"/>
      <c r="AL1089" s="84"/>
    </row>
    <row r="1090" spans="36:38" ht="16.5">
      <c r="AJ1090" s="71"/>
      <c r="AK1090" s="84"/>
      <c r="AL1090" s="84"/>
    </row>
    <row r="1091" spans="36:38" ht="16.5">
      <c r="AJ1091" s="71"/>
      <c r="AK1091" s="84"/>
      <c r="AL1091" s="84"/>
    </row>
    <row r="1092" spans="36:38" ht="16.5">
      <c r="AJ1092" s="71"/>
      <c r="AK1092" s="84"/>
      <c r="AL1092" s="84"/>
    </row>
    <row r="1093" spans="36:38" ht="16.5">
      <c r="AJ1093" s="71"/>
      <c r="AK1093" s="84"/>
      <c r="AL1093" s="84"/>
    </row>
    <row r="1094" spans="36:38" ht="16.5">
      <c r="AJ1094" s="71"/>
      <c r="AK1094" s="84"/>
      <c r="AL1094" s="84"/>
    </row>
    <row r="1095" spans="36:38" ht="16.5">
      <c r="AJ1095" s="71"/>
      <c r="AK1095" s="84"/>
      <c r="AL1095" s="84"/>
    </row>
    <row r="1096" spans="36:38" ht="16.5">
      <c r="AJ1096" s="71"/>
      <c r="AK1096" s="84"/>
      <c r="AL1096" s="84"/>
    </row>
    <row r="1097" spans="36:38" ht="16.5">
      <c r="AJ1097" s="71"/>
      <c r="AK1097" s="84"/>
      <c r="AL1097" s="84"/>
    </row>
    <row r="1098" spans="36:38" ht="16.5">
      <c r="AJ1098" s="71"/>
      <c r="AK1098" s="84"/>
      <c r="AL1098" s="84"/>
    </row>
    <row r="1099" spans="36:38" ht="16.5">
      <c r="AJ1099" s="71"/>
      <c r="AK1099" s="84"/>
      <c r="AL1099" s="84"/>
    </row>
    <row r="1100" spans="36:38" ht="16.5">
      <c r="AJ1100" s="71"/>
      <c r="AK1100" s="84"/>
      <c r="AL1100" s="84"/>
    </row>
    <row r="1101" spans="36:38" ht="16.5">
      <c r="AJ1101" s="71"/>
      <c r="AK1101" s="84"/>
      <c r="AL1101" s="84"/>
    </row>
    <row r="1102" spans="36:38" ht="16.5">
      <c r="AJ1102" s="71"/>
      <c r="AK1102" s="84"/>
      <c r="AL1102" s="84"/>
    </row>
    <row r="1103" spans="36:38" ht="16.5">
      <c r="AJ1103" s="71"/>
      <c r="AK1103" s="84"/>
      <c r="AL1103" s="84"/>
    </row>
    <row r="1104" spans="36:38" ht="16.5">
      <c r="AJ1104" s="71"/>
      <c r="AK1104" s="84"/>
      <c r="AL1104" s="84"/>
    </row>
    <row r="1105" spans="36:38" ht="16.5">
      <c r="AJ1105" s="71"/>
      <c r="AK1105" s="84"/>
      <c r="AL1105" s="84"/>
    </row>
    <row r="1106" spans="36:38" ht="16.5">
      <c r="AJ1106" s="71"/>
      <c r="AK1106" s="84"/>
      <c r="AL1106" s="84"/>
    </row>
    <row r="1107" spans="36:38" ht="16.5">
      <c r="AJ1107" s="71"/>
      <c r="AK1107" s="84"/>
      <c r="AL1107" s="84"/>
    </row>
    <row r="1108" spans="36:38" ht="16.5">
      <c r="AJ1108" s="71"/>
      <c r="AK1108" s="84"/>
      <c r="AL1108" s="84"/>
    </row>
    <row r="1109" spans="36:38" ht="16.5">
      <c r="AJ1109" s="71"/>
      <c r="AK1109" s="84"/>
      <c r="AL1109" s="84"/>
    </row>
    <row r="1110" spans="36:38" ht="16.5">
      <c r="AJ1110" s="71"/>
      <c r="AK1110" s="84"/>
      <c r="AL1110" s="84"/>
    </row>
    <row r="1111" spans="36:38" ht="16.5">
      <c r="AJ1111" s="71"/>
      <c r="AK1111" s="84"/>
      <c r="AL1111" s="84"/>
    </row>
    <row r="1112" spans="36:38" ht="16.5">
      <c r="AJ1112" s="71"/>
      <c r="AK1112" s="84"/>
      <c r="AL1112" s="84"/>
    </row>
    <row r="1113" spans="36:38" ht="16.5">
      <c r="AJ1113" s="71"/>
      <c r="AK1113" s="84"/>
      <c r="AL1113" s="84"/>
    </row>
    <row r="1114" spans="36:38" ht="16.5">
      <c r="AJ1114" s="71"/>
      <c r="AK1114" s="84"/>
      <c r="AL1114" s="84"/>
    </row>
    <row r="1115" spans="36:38" ht="16.5">
      <c r="AJ1115" s="71"/>
      <c r="AK1115" s="84"/>
      <c r="AL1115" s="84"/>
    </row>
    <row r="1116" spans="36:38" ht="16.5">
      <c r="AJ1116" s="71"/>
      <c r="AK1116" s="84"/>
      <c r="AL1116" s="84"/>
    </row>
    <row r="1117" spans="36:38" ht="16.5">
      <c r="AJ1117" s="71"/>
      <c r="AK1117" s="84"/>
      <c r="AL1117" s="84"/>
    </row>
    <row r="1118" spans="36:38" ht="16.5">
      <c r="AJ1118" s="71"/>
      <c r="AK1118" s="84"/>
      <c r="AL1118" s="84"/>
    </row>
    <row r="1119" spans="36:38" ht="16.5">
      <c r="AJ1119" s="71"/>
      <c r="AK1119" s="84"/>
      <c r="AL1119" s="84"/>
    </row>
    <row r="1120" spans="36:38" ht="16.5">
      <c r="AJ1120" s="71"/>
      <c r="AK1120" s="84"/>
      <c r="AL1120" s="84"/>
    </row>
    <row r="1121" spans="36:38" ht="16.5">
      <c r="AJ1121" s="71"/>
      <c r="AK1121" s="84"/>
      <c r="AL1121" s="84"/>
    </row>
    <row r="1122" spans="36:38" ht="16.5">
      <c r="AJ1122" s="71"/>
      <c r="AK1122" s="84"/>
      <c r="AL1122" s="84"/>
    </row>
    <row r="1123" spans="36:38" ht="16.5">
      <c r="AJ1123" s="71"/>
      <c r="AK1123" s="84"/>
      <c r="AL1123" s="84"/>
    </row>
    <row r="1124" spans="36:38" ht="16.5">
      <c r="AJ1124" s="71"/>
      <c r="AK1124" s="84"/>
      <c r="AL1124" s="84"/>
    </row>
    <row r="1125" spans="36:38" ht="16.5">
      <c r="AJ1125" s="71"/>
      <c r="AK1125" s="84"/>
      <c r="AL1125" s="84"/>
    </row>
    <row r="1126" spans="36:38" ht="16.5">
      <c r="AJ1126" s="71"/>
      <c r="AK1126" s="84"/>
      <c r="AL1126" s="84"/>
    </row>
    <row r="1127" spans="36:38" ht="16.5">
      <c r="AJ1127" s="71"/>
      <c r="AK1127" s="84"/>
      <c r="AL1127" s="84"/>
    </row>
    <row r="1128" spans="36:38" ht="16.5">
      <c r="AJ1128" s="71"/>
      <c r="AK1128" s="84"/>
      <c r="AL1128" s="84"/>
    </row>
    <row r="1129" spans="36:38" ht="16.5">
      <c r="AJ1129" s="71"/>
      <c r="AK1129" s="84"/>
      <c r="AL1129" s="84"/>
    </row>
    <row r="1130" spans="36:38" ht="16.5">
      <c r="AJ1130" s="71"/>
      <c r="AK1130" s="84"/>
      <c r="AL1130" s="84"/>
    </row>
    <row r="1131" spans="36:38" ht="16.5">
      <c r="AJ1131" s="71"/>
      <c r="AK1131" s="84"/>
      <c r="AL1131" s="84"/>
    </row>
    <row r="1132" spans="36:38" ht="16.5">
      <c r="AJ1132" s="71"/>
      <c r="AK1132" s="84"/>
      <c r="AL1132" s="84"/>
    </row>
    <row r="1133" spans="36:38" ht="16.5">
      <c r="AJ1133" s="71"/>
      <c r="AK1133" s="84"/>
      <c r="AL1133" s="84"/>
    </row>
    <row r="1134" spans="36:38" ht="16.5">
      <c r="AJ1134" s="71"/>
      <c r="AK1134" s="84"/>
      <c r="AL1134" s="84"/>
    </row>
    <row r="1135" spans="36:38" ht="16.5">
      <c r="AJ1135" s="71"/>
      <c r="AK1135" s="84"/>
      <c r="AL1135" s="84"/>
    </row>
    <row r="1136" spans="36:38" ht="16.5">
      <c r="AJ1136" s="71"/>
      <c r="AK1136" s="84"/>
      <c r="AL1136" s="84"/>
    </row>
    <row r="1137" spans="36:38" ht="16.5">
      <c r="AJ1137" s="71"/>
      <c r="AK1137" s="84"/>
      <c r="AL1137" s="84"/>
    </row>
    <row r="1138" spans="36:38" ht="16.5">
      <c r="AJ1138" s="71"/>
      <c r="AK1138" s="84"/>
      <c r="AL1138" s="84"/>
    </row>
    <row r="1139" spans="36:38" ht="16.5">
      <c r="AJ1139" s="71"/>
      <c r="AK1139" s="84"/>
      <c r="AL1139" s="84"/>
    </row>
    <row r="1140" spans="36:38" ht="16.5">
      <c r="AJ1140" s="71"/>
      <c r="AK1140" s="84"/>
      <c r="AL1140" s="84"/>
    </row>
    <row r="1141" spans="36:38" ht="16.5">
      <c r="AJ1141" s="71"/>
      <c r="AK1141" s="84"/>
      <c r="AL1141" s="84"/>
    </row>
    <row r="1142" spans="36:38" ht="16.5">
      <c r="AJ1142" s="71"/>
      <c r="AK1142" s="84"/>
      <c r="AL1142" s="84"/>
    </row>
    <row r="1143" spans="36:38" ht="16.5">
      <c r="AJ1143" s="71"/>
      <c r="AK1143" s="84"/>
      <c r="AL1143" s="84"/>
    </row>
    <row r="1144" spans="36:38" ht="16.5">
      <c r="AJ1144" s="71"/>
      <c r="AK1144" s="84"/>
      <c r="AL1144" s="84"/>
    </row>
    <row r="1145" spans="36:38" ht="16.5">
      <c r="AJ1145" s="71"/>
      <c r="AK1145" s="84"/>
      <c r="AL1145" s="84"/>
    </row>
    <row r="1146" spans="36:38" ht="16.5">
      <c r="AJ1146" s="71"/>
      <c r="AK1146" s="84"/>
      <c r="AL1146" s="84"/>
    </row>
    <row r="1147" spans="36:38" ht="16.5">
      <c r="AJ1147" s="71"/>
      <c r="AK1147" s="84"/>
      <c r="AL1147" s="84"/>
    </row>
    <row r="1148" spans="36:38" ht="16.5">
      <c r="AJ1148" s="71"/>
      <c r="AK1148" s="84"/>
      <c r="AL1148" s="84"/>
    </row>
    <row r="1149" spans="36:38" ht="16.5">
      <c r="AJ1149" s="71"/>
      <c r="AK1149" s="84"/>
      <c r="AL1149" s="84"/>
    </row>
    <row r="1150" spans="36:38" ht="16.5">
      <c r="AJ1150" s="71"/>
      <c r="AK1150" s="84"/>
      <c r="AL1150" s="84"/>
    </row>
    <row r="1151" spans="36:38" ht="16.5">
      <c r="AJ1151" s="71"/>
      <c r="AK1151" s="84"/>
      <c r="AL1151" s="84"/>
    </row>
    <row r="1152" spans="36:38" ht="16.5">
      <c r="AJ1152" s="71"/>
      <c r="AK1152" s="84"/>
      <c r="AL1152" s="84"/>
    </row>
    <row r="1153" spans="36:38" ht="16.5">
      <c r="AJ1153" s="71"/>
      <c r="AK1153" s="84"/>
      <c r="AL1153" s="84"/>
    </row>
    <row r="1154" spans="36:38" ht="16.5">
      <c r="AJ1154" s="71"/>
      <c r="AK1154" s="84"/>
      <c r="AL1154" s="84"/>
    </row>
    <row r="1155" spans="36:38" ht="16.5">
      <c r="AJ1155" s="71"/>
      <c r="AK1155" s="84"/>
      <c r="AL1155" s="84"/>
    </row>
    <row r="1156" spans="36:38" ht="16.5">
      <c r="AJ1156" s="71"/>
      <c r="AK1156" s="84"/>
      <c r="AL1156" s="84"/>
    </row>
    <row r="1157" spans="36:38" ht="16.5">
      <c r="AJ1157" s="71"/>
      <c r="AK1157" s="84"/>
      <c r="AL1157" s="84"/>
    </row>
    <row r="1158" spans="36:38" ht="16.5">
      <c r="AJ1158" s="71"/>
      <c r="AK1158" s="84"/>
      <c r="AL1158" s="84"/>
    </row>
    <row r="1159" spans="36:38" ht="16.5">
      <c r="AJ1159" s="71"/>
      <c r="AK1159" s="84"/>
      <c r="AL1159" s="84"/>
    </row>
    <row r="1160" spans="36:38" ht="16.5">
      <c r="AJ1160" s="71"/>
      <c r="AK1160" s="84"/>
      <c r="AL1160" s="84"/>
    </row>
    <row r="1161" spans="36:38" ht="16.5">
      <c r="AJ1161" s="71"/>
      <c r="AK1161" s="84"/>
      <c r="AL1161" s="84"/>
    </row>
    <row r="1162" spans="36:38" ht="16.5">
      <c r="AJ1162" s="71"/>
      <c r="AK1162" s="84"/>
      <c r="AL1162" s="84"/>
    </row>
    <row r="1163" spans="36:38" ht="16.5">
      <c r="AJ1163" s="71"/>
      <c r="AK1163" s="84"/>
      <c r="AL1163" s="84"/>
    </row>
    <row r="1164" spans="36:38" ht="16.5">
      <c r="AJ1164" s="71"/>
      <c r="AK1164" s="84"/>
      <c r="AL1164" s="84"/>
    </row>
    <row r="1165" spans="36:38" ht="16.5">
      <c r="AJ1165" s="71"/>
      <c r="AK1165" s="84"/>
      <c r="AL1165" s="84"/>
    </row>
    <row r="1166" spans="36:38" ht="16.5">
      <c r="AJ1166" s="71"/>
      <c r="AK1166" s="84"/>
      <c r="AL1166" s="84"/>
    </row>
    <row r="1167" spans="36:38" ht="16.5">
      <c r="AJ1167" s="71"/>
      <c r="AK1167" s="84"/>
      <c r="AL1167" s="84"/>
    </row>
    <row r="1168" spans="36:38" ht="16.5">
      <c r="AJ1168" s="71"/>
      <c r="AK1168" s="84"/>
      <c r="AL1168" s="84"/>
    </row>
    <row r="1169" spans="36:38" ht="16.5">
      <c r="AJ1169" s="71"/>
      <c r="AK1169" s="84"/>
      <c r="AL1169" s="84"/>
    </row>
    <row r="1170" spans="36:38" ht="16.5">
      <c r="AJ1170" s="71"/>
      <c r="AK1170" s="84"/>
      <c r="AL1170" s="84"/>
    </row>
    <row r="1171" spans="36:38" ht="16.5">
      <c r="AJ1171" s="71"/>
      <c r="AK1171" s="84"/>
      <c r="AL1171" s="84"/>
    </row>
    <row r="1172" spans="36:38" ht="16.5">
      <c r="AJ1172" s="71"/>
      <c r="AK1172" s="84"/>
      <c r="AL1172" s="84"/>
    </row>
    <row r="1173" spans="36:38" ht="16.5">
      <c r="AJ1173" s="71"/>
      <c r="AK1173" s="84"/>
      <c r="AL1173" s="84"/>
    </row>
    <row r="1174" spans="36:38" ht="16.5">
      <c r="AJ1174" s="71"/>
      <c r="AK1174" s="84"/>
      <c r="AL1174" s="84"/>
    </row>
    <row r="1175" spans="36:38" ht="16.5">
      <c r="AJ1175" s="71"/>
      <c r="AK1175" s="84"/>
      <c r="AL1175" s="84"/>
    </row>
    <row r="1176" spans="36:38" ht="16.5">
      <c r="AJ1176" s="71"/>
      <c r="AK1176" s="84"/>
      <c r="AL1176" s="84"/>
    </row>
    <row r="1177" spans="36:38" ht="16.5">
      <c r="AJ1177" s="71"/>
      <c r="AK1177" s="84"/>
      <c r="AL1177" s="84"/>
    </row>
    <row r="1178" spans="36:38" ht="16.5">
      <c r="AJ1178" s="71"/>
      <c r="AK1178" s="84"/>
      <c r="AL1178" s="84"/>
    </row>
    <row r="1179" spans="36:38" ht="16.5">
      <c r="AJ1179" s="71"/>
      <c r="AK1179" s="84"/>
      <c r="AL1179" s="84"/>
    </row>
    <row r="1180" spans="36:38" ht="16.5">
      <c r="AJ1180" s="71"/>
      <c r="AK1180" s="84"/>
      <c r="AL1180" s="84"/>
    </row>
    <row r="1181" spans="36:38" ht="16.5">
      <c r="AJ1181" s="71"/>
      <c r="AK1181" s="84"/>
      <c r="AL1181" s="84"/>
    </row>
    <row r="1182" spans="36:38" ht="16.5">
      <c r="AJ1182" s="71"/>
      <c r="AK1182" s="84"/>
      <c r="AL1182" s="84"/>
    </row>
    <row r="1183" spans="36:38" ht="16.5">
      <c r="AJ1183" s="71"/>
      <c r="AK1183" s="84"/>
      <c r="AL1183" s="84"/>
    </row>
    <row r="1184" spans="36:38" ht="16.5">
      <c r="AJ1184" s="71"/>
      <c r="AK1184" s="84"/>
      <c r="AL1184" s="84"/>
    </row>
    <row r="1185" spans="36:38" ht="16.5">
      <c r="AJ1185" s="71"/>
      <c r="AK1185" s="84"/>
      <c r="AL1185" s="84"/>
    </row>
    <row r="1186" spans="36:38" ht="16.5">
      <c r="AJ1186" s="71"/>
      <c r="AK1186" s="84"/>
      <c r="AL1186" s="84"/>
    </row>
    <row r="1187" spans="36:38" ht="16.5">
      <c r="AJ1187" s="71"/>
      <c r="AK1187" s="84"/>
      <c r="AL1187" s="84"/>
    </row>
    <row r="1188" spans="36:38" ht="16.5">
      <c r="AJ1188" s="71"/>
      <c r="AK1188" s="84"/>
      <c r="AL1188" s="84"/>
    </row>
    <row r="1189" spans="36:38" ht="16.5">
      <c r="AJ1189" s="71"/>
      <c r="AK1189" s="84"/>
      <c r="AL1189" s="84"/>
    </row>
    <row r="1190" spans="36:38" ht="16.5">
      <c r="AJ1190" s="71"/>
      <c r="AK1190" s="84"/>
      <c r="AL1190" s="84"/>
    </row>
    <row r="1191" spans="36:38" ht="16.5">
      <c r="AJ1191" s="71"/>
      <c r="AK1191" s="84"/>
      <c r="AL1191" s="84"/>
    </row>
    <row r="1192" spans="36:38" ht="16.5">
      <c r="AJ1192" s="71"/>
      <c r="AK1192" s="84"/>
      <c r="AL1192" s="84"/>
    </row>
    <row r="1193" spans="36:38" ht="16.5">
      <c r="AJ1193" s="71"/>
      <c r="AK1193" s="84"/>
      <c r="AL1193" s="84"/>
    </row>
    <row r="1194" spans="36:38" ht="16.5">
      <c r="AJ1194" s="71"/>
      <c r="AK1194" s="84"/>
      <c r="AL1194" s="84"/>
    </row>
    <row r="1195" spans="36:38" ht="16.5">
      <c r="AJ1195" s="71"/>
      <c r="AK1195" s="84"/>
      <c r="AL1195" s="84"/>
    </row>
    <row r="1196" spans="36:38" ht="16.5">
      <c r="AJ1196" s="71"/>
      <c r="AK1196" s="84"/>
      <c r="AL1196" s="84"/>
    </row>
    <row r="1197" spans="36:38" ht="16.5">
      <c r="AJ1197" s="71"/>
      <c r="AK1197" s="84"/>
      <c r="AL1197" s="84"/>
    </row>
    <row r="1198" spans="36:38" ht="16.5">
      <c r="AJ1198" s="71"/>
      <c r="AK1198" s="84"/>
      <c r="AL1198" s="84"/>
    </row>
    <row r="1199" spans="36:38" ht="16.5">
      <c r="AJ1199" s="71"/>
      <c r="AK1199" s="84"/>
      <c r="AL1199" s="84"/>
    </row>
    <row r="1200" spans="36:38" ht="16.5">
      <c r="AJ1200" s="71"/>
      <c r="AK1200" s="84"/>
      <c r="AL1200" s="84"/>
    </row>
    <row r="1201" spans="36:38" ht="16.5">
      <c r="AJ1201" s="71"/>
      <c r="AK1201" s="84"/>
      <c r="AL1201" s="84"/>
    </row>
    <row r="1202" spans="36:38" ht="16.5">
      <c r="AJ1202" s="71"/>
      <c r="AK1202" s="84"/>
      <c r="AL1202" s="84"/>
    </row>
    <row r="1203" spans="36:38" ht="16.5">
      <c r="AJ1203" s="71"/>
      <c r="AK1203" s="84"/>
      <c r="AL1203" s="84"/>
    </row>
    <row r="1204" spans="36:38" ht="16.5">
      <c r="AJ1204" s="71"/>
      <c r="AK1204" s="84"/>
      <c r="AL1204" s="84"/>
    </row>
    <row r="1205" spans="36:38" ht="16.5">
      <c r="AJ1205" s="71"/>
      <c r="AK1205" s="84"/>
      <c r="AL1205" s="84"/>
    </row>
    <row r="1206" spans="36:38" ht="16.5">
      <c r="AJ1206" s="71"/>
      <c r="AK1206" s="84"/>
      <c r="AL1206" s="84"/>
    </row>
    <row r="1207" spans="36:38" ht="16.5">
      <c r="AJ1207" s="71"/>
      <c r="AK1207" s="84"/>
      <c r="AL1207" s="84"/>
    </row>
    <row r="1208" spans="36:38" ht="16.5">
      <c r="AJ1208" s="71"/>
      <c r="AK1208" s="84"/>
      <c r="AL1208" s="84"/>
    </row>
    <row r="1209" spans="36:38" ht="16.5">
      <c r="AJ1209" s="71"/>
      <c r="AK1209" s="84"/>
      <c r="AL1209" s="84"/>
    </row>
    <row r="1210" spans="36:38" ht="16.5">
      <c r="AJ1210" s="71"/>
      <c r="AK1210" s="84"/>
      <c r="AL1210" s="84"/>
    </row>
    <row r="1211" spans="36:38" ht="16.5">
      <c r="AJ1211" s="71"/>
      <c r="AK1211" s="84"/>
      <c r="AL1211" s="84"/>
    </row>
    <row r="1212" spans="36:38" ht="16.5">
      <c r="AJ1212" s="71"/>
      <c r="AK1212" s="84"/>
      <c r="AL1212" s="84"/>
    </row>
    <row r="1213" spans="36:38" ht="16.5">
      <c r="AJ1213" s="71"/>
      <c r="AK1213" s="84"/>
      <c r="AL1213" s="84"/>
    </row>
    <row r="1214" spans="36:38" ht="16.5">
      <c r="AJ1214" s="71"/>
      <c r="AK1214" s="84"/>
      <c r="AL1214" s="84"/>
    </row>
    <row r="1215" spans="36:38" ht="16.5">
      <c r="AJ1215" s="71"/>
      <c r="AK1215" s="84"/>
      <c r="AL1215" s="84"/>
    </row>
    <row r="1216" spans="36:38" ht="16.5">
      <c r="AJ1216" s="71"/>
      <c r="AK1216" s="84"/>
      <c r="AL1216" s="84"/>
    </row>
    <row r="1217" spans="36:38" ht="16.5">
      <c r="AJ1217" s="71"/>
      <c r="AK1217" s="84"/>
      <c r="AL1217" s="84"/>
    </row>
    <row r="1218" spans="36:38" ht="16.5">
      <c r="AJ1218" s="71"/>
      <c r="AK1218" s="84"/>
      <c r="AL1218" s="84"/>
    </row>
    <row r="1219" spans="36:38" ht="16.5">
      <c r="AJ1219" s="71"/>
      <c r="AK1219" s="84"/>
      <c r="AL1219" s="84"/>
    </row>
    <row r="1220" spans="36:38" ht="16.5">
      <c r="AJ1220" s="71"/>
      <c r="AK1220" s="84"/>
      <c r="AL1220" s="84"/>
    </row>
    <row r="1221" spans="36:38" ht="16.5">
      <c r="AJ1221" s="71"/>
      <c r="AK1221" s="84"/>
      <c r="AL1221" s="84"/>
    </row>
    <row r="1222" spans="36:38" ht="16.5">
      <c r="AJ1222" s="71"/>
      <c r="AK1222" s="84"/>
      <c r="AL1222" s="84"/>
    </row>
    <row r="1223" spans="36:38" ht="16.5">
      <c r="AJ1223" s="71"/>
      <c r="AK1223" s="84"/>
      <c r="AL1223" s="84"/>
    </row>
    <row r="1224" spans="36:38" ht="16.5">
      <c r="AJ1224" s="71"/>
      <c r="AK1224" s="84"/>
      <c r="AL1224" s="84"/>
    </row>
    <row r="1225" spans="36:38" ht="16.5">
      <c r="AJ1225" s="71"/>
      <c r="AK1225" s="84"/>
      <c r="AL1225" s="84"/>
    </row>
    <row r="1226" spans="36:38" ht="16.5">
      <c r="AJ1226" s="71"/>
      <c r="AK1226" s="84"/>
      <c r="AL1226" s="84"/>
    </row>
    <row r="1227" spans="36:38" ht="16.5">
      <c r="AJ1227" s="71"/>
      <c r="AK1227" s="84"/>
      <c r="AL1227" s="84"/>
    </row>
    <row r="1228" spans="36:38" ht="16.5">
      <c r="AJ1228" s="71"/>
      <c r="AK1228" s="84"/>
      <c r="AL1228" s="84"/>
    </row>
    <row r="1229" spans="36:38" ht="16.5">
      <c r="AJ1229" s="71"/>
      <c r="AK1229" s="84"/>
      <c r="AL1229" s="84"/>
    </row>
    <row r="1230" spans="36:38" ht="16.5">
      <c r="AJ1230" s="71"/>
      <c r="AK1230" s="84"/>
      <c r="AL1230" s="84"/>
    </row>
    <row r="1231" spans="36:38" ht="16.5">
      <c r="AJ1231" s="71"/>
      <c r="AK1231" s="84"/>
      <c r="AL1231" s="84"/>
    </row>
    <row r="1232" spans="36:38" ht="16.5">
      <c r="AJ1232" s="71"/>
      <c r="AK1232" s="84"/>
      <c r="AL1232" s="84"/>
    </row>
    <row r="1233" spans="36:38" ht="16.5">
      <c r="AJ1233" s="71"/>
      <c r="AK1233" s="84"/>
      <c r="AL1233" s="84"/>
    </row>
    <row r="1234" spans="36:38" ht="16.5">
      <c r="AJ1234" s="71"/>
      <c r="AK1234" s="84"/>
      <c r="AL1234" s="84"/>
    </row>
    <row r="1235" spans="36:38" ht="16.5">
      <c r="AJ1235" s="71"/>
      <c r="AK1235" s="84"/>
      <c r="AL1235" s="84"/>
    </row>
    <row r="1236" spans="36:38" ht="16.5">
      <c r="AJ1236" s="71"/>
      <c r="AK1236" s="84"/>
      <c r="AL1236" s="84"/>
    </row>
    <row r="1237" spans="36:38" ht="16.5">
      <c r="AJ1237" s="71"/>
      <c r="AK1237" s="84"/>
      <c r="AL1237" s="84"/>
    </row>
    <row r="1238" spans="36:38" ht="16.5">
      <c r="AJ1238" s="71"/>
      <c r="AK1238" s="84"/>
      <c r="AL1238" s="84"/>
    </row>
    <row r="1239" spans="36:38" ht="16.5">
      <c r="AJ1239" s="71"/>
      <c r="AK1239" s="84"/>
      <c r="AL1239" s="84"/>
    </row>
    <row r="1240" spans="36:38" ht="16.5">
      <c r="AJ1240" s="71"/>
      <c r="AK1240" s="84"/>
      <c r="AL1240" s="84"/>
    </row>
    <row r="1241" spans="36:38" ht="16.5">
      <c r="AJ1241" s="71"/>
      <c r="AK1241" s="84"/>
      <c r="AL1241" s="84"/>
    </row>
    <row r="1242" spans="36:38" ht="16.5">
      <c r="AJ1242" s="71"/>
      <c r="AK1242" s="84"/>
      <c r="AL1242" s="84"/>
    </row>
    <row r="1243" spans="36:38" ht="16.5">
      <c r="AJ1243" s="71"/>
      <c r="AK1243" s="84"/>
      <c r="AL1243" s="84"/>
    </row>
    <row r="1244" spans="36:38" ht="16.5">
      <c r="AJ1244" s="71"/>
      <c r="AK1244" s="84"/>
      <c r="AL1244" s="84"/>
    </row>
    <row r="1245" spans="36:38" ht="16.5">
      <c r="AJ1245" s="71"/>
      <c r="AK1245" s="84"/>
      <c r="AL1245" s="84"/>
    </row>
    <row r="1246" spans="36:38" ht="16.5">
      <c r="AJ1246" s="71"/>
      <c r="AK1246" s="84"/>
      <c r="AL1246" s="84"/>
    </row>
    <row r="1247" spans="36:38" ht="16.5">
      <c r="AJ1247" s="71"/>
      <c r="AK1247" s="84"/>
      <c r="AL1247" s="84"/>
    </row>
    <row r="1248" spans="36:38" ht="16.5">
      <c r="AJ1248" s="71"/>
      <c r="AK1248" s="84"/>
      <c r="AL1248" s="84"/>
    </row>
    <row r="1249" spans="36:38" ht="16.5">
      <c r="AJ1249" s="71"/>
      <c r="AK1249" s="84"/>
      <c r="AL1249" s="84"/>
    </row>
    <row r="1250" spans="36:38" ht="16.5">
      <c r="AJ1250" s="71"/>
      <c r="AK1250" s="84"/>
      <c r="AL1250" s="84"/>
    </row>
    <row r="1251" spans="36:38" ht="16.5">
      <c r="AJ1251" s="71"/>
      <c r="AK1251" s="84"/>
      <c r="AL1251" s="84"/>
    </row>
    <row r="1252" spans="36:38" ht="16.5">
      <c r="AJ1252" s="71"/>
      <c r="AK1252" s="84"/>
      <c r="AL1252" s="84"/>
    </row>
    <row r="1253" spans="36:38" ht="16.5">
      <c r="AJ1253" s="71"/>
      <c r="AK1253" s="84"/>
      <c r="AL1253" s="84"/>
    </row>
    <row r="1254" spans="36:38" ht="16.5">
      <c r="AJ1254" s="71"/>
      <c r="AK1254" s="84"/>
      <c r="AL1254" s="84"/>
    </row>
    <row r="1255" spans="36:38" ht="16.5">
      <c r="AJ1255" s="71"/>
      <c r="AK1255" s="84"/>
      <c r="AL1255" s="84"/>
    </row>
    <row r="1256" spans="36:38" ht="16.5">
      <c r="AJ1256" s="71"/>
      <c r="AK1256" s="84"/>
      <c r="AL1256" s="84"/>
    </row>
    <row r="1257" spans="36:38" ht="16.5">
      <c r="AJ1257" s="71"/>
      <c r="AK1257" s="84"/>
      <c r="AL1257" s="84"/>
    </row>
    <row r="1258" spans="36:38" ht="16.5">
      <c r="AJ1258" s="71"/>
      <c r="AK1258" s="84"/>
      <c r="AL1258" s="84"/>
    </row>
    <row r="1259" spans="36:38" ht="16.5">
      <c r="AJ1259" s="71"/>
      <c r="AK1259" s="84"/>
      <c r="AL1259" s="84"/>
    </row>
    <row r="1260" spans="36:38" ht="16.5">
      <c r="AJ1260" s="71"/>
      <c r="AK1260" s="84"/>
      <c r="AL1260" s="84"/>
    </row>
    <row r="1261" spans="36:38" ht="16.5">
      <c r="AJ1261" s="71"/>
      <c r="AK1261" s="84"/>
      <c r="AL1261" s="84"/>
    </row>
    <row r="1262" spans="36:38" ht="16.5">
      <c r="AJ1262" s="71"/>
      <c r="AK1262" s="84"/>
      <c r="AL1262" s="84"/>
    </row>
    <row r="1263" spans="36:38" ht="16.5">
      <c r="AJ1263" s="71"/>
      <c r="AK1263" s="84"/>
      <c r="AL1263" s="84"/>
    </row>
    <row r="1264" spans="36:38" ht="16.5">
      <c r="AJ1264" s="71"/>
      <c r="AK1264" s="84"/>
      <c r="AL1264" s="84"/>
    </row>
    <row r="1265" spans="36:38" ht="16.5">
      <c r="AJ1265" s="71"/>
      <c r="AK1265" s="84"/>
      <c r="AL1265" s="84"/>
    </row>
    <row r="1266" spans="36:38" ht="16.5">
      <c r="AJ1266" s="71"/>
      <c r="AK1266" s="84"/>
      <c r="AL1266" s="84"/>
    </row>
    <row r="1267" spans="36:38" ht="16.5">
      <c r="AJ1267" s="71"/>
      <c r="AK1267" s="84"/>
      <c r="AL1267" s="84"/>
    </row>
    <row r="1268" spans="36:38" ht="16.5">
      <c r="AJ1268" s="71"/>
      <c r="AK1268" s="84"/>
      <c r="AL1268" s="84"/>
    </row>
    <row r="1269" spans="36:38" ht="16.5">
      <c r="AJ1269" s="71"/>
      <c r="AK1269" s="84"/>
      <c r="AL1269" s="84"/>
    </row>
    <row r="1270" spans="36:38" ht="16.5">
      <c r="AJ1270" s="71"/>
      <c r="AK1270" s="84"/>
      <c r="AL1270" s="84"/>
    </row>
    <row r="1271" spans="36:38" ht="16.5">
      <c r="AJ1271" s="71"/>
      <c r="AK1271" s="84"/>
      <c r="AL1271" s="84"/>
    </row>
    <row r="1272" spans="36:38" ht="16.5">
      <c r="AJ1272" s="4"/>
      <c r="AK1272" s="5"/>
      <c r="AL1272" s="5"/>
    </row>
    <row r="1273" spans="36:38" ht="16.5">
      <c r="AJ1273" s="4"/>
      <c r="AK1273" s="5"/>
      <c r="AL1273" s="5"/>
    </row>
    <row r="1274" spans="36:38" ht="16.5">
      <c r="AJ1274" s="4"/>
      <c r="AK1274" s="5"/>
      <c r="AL1274" s="5"/>
    </row>
    <row r="1275" spans="36:38" ht="16.5">
      <c r="AJ1275" s="4"/>
      <c r="AK1275" s="5"/>
      <c r="AL1275" s="5"/>
    </row>
    <row r="1276" spans="36:38" ht="16.5">
      <c r="AJ1276" s="4"/>
      <c r="AK1276" s="5"/>
      <c r="AL1276" s="5"/>
    </row>
    <row r="1277" spans="36:38" ht="16.5">
      <c r="AJ1277" s="4"/>
      <c r="AK1277" s="5"/>
      <c r="AL1277" s="5"/>
    </row>
    <row r="1278" spans="36:38" ht="16.5">
      <c r="AJ1278" s="4"/>
      <c r="AK1278" s="5"/>
      <c r="AL1278" s="5"/>
    </row>
    <row r="1279" spans="36:38" ht="16.5">
      <c r="AJ1279" s="4"/>
      <c r="AK1279" s="5"/>
      <c r="AL1279" s="5"/>
    </row>
    <row r="1280" spans="36:38" ht="16.5">
      <c r="AJ1280" s="4"/>
      <c r="AK1280" s="5"/>
      <c r="AL1280" s="5"/>
    </row>
    <row r="1281" spans="36:38" ht="16.5">
      <c r="AJ1281" s="4"/>
      <c r="AK1281" s="5"/>
      <c r="AL1281" s="5"/>
    </row>
    <row r="1282" spans="36:38" ht="16.5">
      <c r="AJ1282" s="4"/>
      <c r="AK1282" s="5"/>
      <c r="AL1282" s="5"/>
    </row>
    <row r="1283" spans="36:38" ht="16.5">
      <c r="AJ1283" s="4"/>
      <c r="AK1283" s="5"/>
      <c r="AL1283" s="5"/>
    </row>
    <row r="1284" spans="36:38" ht="16.5">
      <c r="AJ1284" s="4"/>
      <c r="AK1284" s="5"/>
      <c r="AL1284" s="5"/>
    </row>
    <row r="1285" spans="36:38" ht="16.5">
      <c r="AJ1285" s="4"/>
      <c r="AK1285" s="5"/>
      <c r="AL1285" s="5"/>
    </row>
    <row r="1286" spans="36:38" ht="16.5">
      <c r="AJ1286" s="4"/>
      <c r="AK1286" s="5"/>
      <c r="AL1286" s="5"/>
    </row>
    <row r="1287" spans="36:38" ht="16.5">
      <c r="AJ1287" s="4"/>
      <c r="AK1287" s="5"/>
      <c r="AL1287" s="5"/>
    </row>
    <row r="1288" spans="36:38" ht="16.5">
      <c r="AJ1288" s="4"/>
      <c r="AK1288" s="5"/>
      <c r="AL1288" s="5"/>
    </row>
    <row r="1289" spans="36:38" ht="16.5">
      <c r="AJ1289" s="4"/>
      <c r="AK1289" s="5"/>
      <c r="AL1289" s="5"/>
    </row>
    <row r="1290" spans="36:38" ht="16.5">
      <c r="AJ1290" s="4"/>
      <c r="AK1290" s="5"/>
      <c r="AL1290" s="5"/>
    </row>
    <row r="1291" spans="36:38" ht="16.5">
      <c r="AJ1291" s="4"/>
      <c r="AK1291" s="5"/>
      <c r="AL1291" s="5"/>
    </row>
    <row r="1292" spans="36:38" ht="16.5">
      <c r="AJ1292" s="4"/>
      <c r="AK1292" s="5"/>
      <c r="AL1292" s="5"/>
    </row>
    <row r="1293" spans="36:38" ht="16.5">
      <c r="AJ1293" s="4"/>
      <c r="AK1293" s="5"/>
      <c r="AL1293" s="5"/>
    </row>
    <row r="1294" spans="36:38" ht="16.5">
      <c r="AJ1294" s="4"/>
      <c r="AK1294" s="5"/>
      <c r="AL1294" s="5"/>
    </row>
    <row r="1295" spans="36:38" ht="16.5">
      <c r="AJ1295" s="4"/>
      <c r="AK1295" s="5"/>
      <c r="AL1295" s="5"/>
    </row>
    <row r="1296" spans="36:38" ht="16.5">
      <c r="AJ1296" s="4"/>
      <c r="AK1296" s="5"/>
      <c r="AL1296" s="5"/>
    </row>
    <row r="1297" spans="36:38" ht="16.5">
      <c r="AJ1297" s="4"/>
      <c r="AK1297" s="5"/>
      <c r="AL1297" s="5"/>
    </row>
    <row r="1298" spans="36:38" ht="16.5">
      <c r="AJ1298" s="4"/>
      <c r="AK1298" s="5"/>
      <c r="AL1298" s="5"/>
    </row>
    <row r="1299" spans="36:38" ht="16.5">
      <c r="AJ1299" s="4"/>
      <c r="AK1299" s="5"/>
      <c r="AL1299" s="5"/>
    </row>
    <row r="1300" spans="36:38" ht="16.5">
      <c r="AJ1300" s="4"/>
      <c r="AK1300" s="5"/>
      <c r="AL1300" s="5"/>
    </row>
    <row r="1301" spans="36:38" ht="16.5">
      <c r="AJ1301" s="4"/>
      <c r="AK1301" s="5"/>
      <c r="AL1301" s="5"/>
    </row>
  </sheetData>
  <sheetProtection sort="0" autoFilter="0" pivotTables="0"/>
  <mergeCells count="7">
    <mergeCell ref="D56:T57"/>
    <mergeCell ref="AK4:AM4"/>
    <mergeCell ref="AN4:AO4"/>
    <mergeCell ref="AD3:AE3"/>
    <mergeCell ref="AF3:AG3"/>
    <mergeCell ref="Q24:Q25"/>
    <mergeCell ref="R24:T25"/>
  </mergeCells>
  <conditionalFormatting sqref="R5">
    <cfRule type="iconSet" priority="11">
      <iconSet>
        <cfvo type="percent" val="0"/>
        <cfvo type="num" val="6.1"/>
        <cfvo type="num" val="18.100000000000001"/>
      </iconSet>
    </cfRule>
    <cfRule type="cellIs" dxfId="1" priority="12" operator="between">
      <formula>6.1</formula>
      <formula>18.1</formula>
    </cfRule>
    <cfRule type="cellIs" dxfId="0" priority="13" operator="lessThanOrEqual">
      <formula>6</formula>
    </cfRule>
  </conditionalFormatting>
  <dataValidations count="2">
    <dataValidation type="list" allowBlank="1" showInputMessage="1" showErrorMessage="1" sqref="AM3">
      <formula1>$AX$5:$AX$7</formula1>
    </dataValidation>
    <dataValidation type="list" allowBlank="1" showInputMessage="1" showErrorMessage="1" sqref="Q14:Q17">
      <formula1>#REF!</formula1>
    </dataValidation>
  </dataValidations>
  <pageMargins left="1.1499999999999999" right="1.1499999999999999" top="0.5" bottom="0.5" header="0.25" footer="0.25"/>
  <pageSetup scale="52" orientation="landscape" r:id="rId1"/>
  <headerFooter>
    <oddHeader>&amp;C&amp;"-,Bold"&amp;18ERCOT Drought Risk Prediction Tool</oddHeader>
    <oddFooter>&amp;LERCOT Confidential&amp;C&amp;P&amp;R&amp;D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1">
              <controlPr defaultSize="0" autoFill="0" autoPict="0">
                <anchor moveWithCells="1">
                  <from>
                    <xdr:col>16</xdr:col>
                    <xdr:colOff>1295400</xdr:colOff>
                    <xdr:row>34</xdr:row>
                    <xdr:rowOff>95250</xdr:rowOff>
                  </from>
                  <to>
                    <xdr:col>17</xdr:col>
                    <xdr:colOff>314325</xdr:colOff>
                    <xdr:row>40</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README</vt:lpstr>
      <vt:lpstr>Drainage-Fed Reservoir</vt:lpstr>
      <vt:lpstr>Off-Channel Reservoir</vt:lpstr>
      <vt:lpstr>'Drainage-Fed Reservoir'!_2000_11_01</vt:lpstr>
      <vt:lpstr>'Off-Channel Reservoir'!_2000_11_01</vt:lpstr>
      <vt:lpstr>'Drainage-Fed Reservoir'!Print_Area</vt:lpstr>
      <vt:lpstr>'Off-Channel Reservoir'!Print_Area</vt:lpstr>
      <vt:lpstr>README!Print_Area</vt:lpstr>
    </vt:vector>
  </TitlesOfParts>
  <Company>The Electric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Lazarus, Dana</dc:creator>
  <cp:lastModifiedBy>Lazarus, Dana</cp:lastModifiedBy>
  <cp:lastPrinted>2016-02-19T20:25:34Z</cp:lastPrinted>
  <dcterms:created xsi:type="dcterms:W3CDTF">2016-02-19T20:19:34Z</dcterms:created>
  <dcterms:modified xsi:type="dcterms:W3CDTF">2016-04-21T19:42:03Z</dcterms:modified>
</cp:coreProperties>
</file>