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8250" activeTab="0"/>
  </bookViews>
  <sheets>
    <sheet name="Summary" sheetId="1" r:id="rId1"/>
    <sheet name="QSE Portfolio" sheetId="2" r:id="rId2"/>
    <sheet name="Option 1" sheetId="3" r:id="rId3"/>
    <sheet name="Option 2" sheetId="4" r:id="rId4"/>
    <sheet name="Option 3" sheetId="5" r:id="rId5"/>
    <sheet name="Option 4" sheetId="6" r:id="rId6"/>
    <sheet name="Option 4 (a)" sheetId="7" r:id="rId7"/>
    <sheet name="Option 4 (b)" sheetId="8" r:id="rId8"/>
  </sheets>
  <definedNames/>
  <calcPr fullCalcOnLoad="1"/>
</workbook>
</file>

<file path=xl/comments2.xml><?xml version="1.0" encoding="utf-8"?>
<comments xmlns="http://schemas.openxmlformats.org/spreadsheetml/2006/main">
  <authors>
    <author>Bob Wittmeyer</author>
  </authors>
  <commentList>
    <comment ref="N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3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4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5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6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7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8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sharedStrings.xml><?xml version="1.0" encoding="utf-8"?>
<sst xmlns="http://schemas.openxmlformats.org/spreadsheetml/2006/main" count="190" uniqueCount="130">
  <si>
    <t>Assumptions</t>
  </si>
  <si>
    <t>Settlement Point A LMP</t>
  </si>
  <si>
    <t>Settlement Point B LMP</t>
  </si>
  <si>
    <t>Size of Default</t>
  </si>
  <si>
    <t>Percentage Option 1</t>
  </si>
  <si>
    <t>RT Load @ A in MWh</t>
  </si>
  <si>
    <t>RT Generation @ A in MWh</t>
  </si>
  <si>
    <t>RT Load @ B in MWh</t>
  </si>
  <si>
    <t>RT Generation @ B in MWh</t>
  </si>
  <si>
    <t>Self Sched. Source @ A</t>
  </si>
  <si>
    <t>Self Sched. Source @ B</t>
  </si>
  <si>
    <t>Self Sched. Sink @ A</t>
  </si>
  <si>
    <t>Self Sched. Sink @ B</t>
  </si>
  <si>
    <t>RT DC Tie Imports @ A</t>
  </si>
  <si>
    <t>RT DC Tie Imports @ B</t>
  </si>
  <si>
    <t>DA</t>
  </si>
  <si>
    <t>RT</t>
  </si>
  <si>
    <t>RT Sales to another QSE @ A</t>
  </si>
  <si>
    <t>RT Purch from another QSE @ A</t>
  </si>
  <si>
    <t>RT Sales to another QSE @ B</t>
  </si>
  <si>
    <t>RT Purch from another QSE @ B</t>
  </si>
  <si>
    <t>RT CRR Opt Refund qty</t>
  </si>
  <si>
    <t>RT CRR Obl Refund qty</t>
  </si>
  <si>
    <t>DA Sales to ERCOT @ A (MWh)</t>
  </si>
  <si>
    <t>DA Purchases from ERCOT @ A (MWh)</t>
  </si>
  <si>
    <t>DA Sales to ERCOT @ B (MWh)</t>
  </si>
  <si>
    <t>DA Purchases from ERCOT @ B (MWh)</t>
  </si>
  <si>
    <t>DA CRR Obl Refund ($)</t>
  </si>
  <si>
    <t>DA CRR Opt Refund ($)</t>
  </si>
  <si>
    <t>DA Make Whole Payment ($)</t>
  </si>
  <si>
    <t>RT RUC Make Whole (not in formula)</t>
  </si>
  <si>
    <t>Actual Physical MWH</t>
  </si>
  <si>
    <t>CRR Obligation Auction Puchase (A-B)</t>
  </si>
  <si>
    <t>CRR Option Auction Purchase (A-B)</t>
  </si>
  <si>
    <t>DA PTP Obl (A-B) Purchases Qty</t>
  </si>
  <si>
    <t>DA PTP Obl (B-A) Purchases Qty</t>
  </si>
  <si>
    <t>Peak</t>
  </si>
  <si>
    <t>Assumed % of Physical MWh</t>
  </si>
  <si>
    <t>RT Energy Imbalance @ A in MWh</t>
  </si>
  <si>
    <t>RT Energy Imbalance @ B in MWh</t>
  </si>
  <si>
    <t>DAM: Sales @ A</t>
  </si>
  <si>
    <t>DAM: Purchases @ A</t>
  </si>
  <si>
    <t>DAM: Sales @ B</t>
  </si>
  <si>
    <t>DAM: Purchases @ B</t>
  </si>
  <si>
    <t>CRR: Sales @ A</t>
  </si>
  <si>
    <t>CRR: Purchases @ A</t>
  </si>
  <si>
    <t>CRR: Sales @ B</t>
  </si>
  <si>
    <t>CRR: Purchases @ B</t>
  </si>
  <si>
    <t>RTM: Sum of Generation</t>
  </si>
  <si>
    <t>RTM: Sum of Load</t>
  </si>
  <si>
    <t>RTM: Max of Generation or Load</t>
  </si>
  <si>
    <t>CRR Obligations Auction Sale (A-B)</t>
  </si>
  <si>
    <t>CRR Obligations Auction Sale (B-A)</t>
  </si>
  <si>
    <t>CRR Options Auction Sale (A-B)</t>
  </si>
  <si>
    <t>CRR Options Auction Sale (B-A)</t>
  </si>
  <si>
    <t>CRR Obligation Auction Puchase (B-A)</t>
  </si>
  <si>
    <t>CRR Option Auction Purchase (B-A)</t>
  </si>
  <si>
    <t>Default dollar Allocation Option 4</t>
  </si>
  <si>
    <t>Percentage Option 4</t>
  </si>
  <si>
    <t>Total MWh for Allocation Option 4</t>
  </si>
  <si>
    <t>CRR Auction</t>
  </si>
  <si>
    <t>PTP Obligation A-B Price</t>
  </si>
  <si>
    <t>PTP Obligation B-A Price</t>
  </si>
  <si>
    <t>PTP Option A-B Price</t>
  </si>
  <si>
    <t>PTP Option B-A Price</t>
  </si>
  <si>
    <t>RTM: Sum of Abs Credits &amp; Charges</t>
  </si>
  <si>
    <t>DAM: Sum of Abs Credits &amp; Charges</t>
  </si>
  <si>
    <t>RTM: Sum of Abs Charges</t>
  </si>
  <si>
    <t>RTM: Sum of Abs Credits</t>
  </si>
  <si>
    <t>DAM: Sum of Abs Credits</t>
  </si>
  <si>
    <t>DAM: Sum of Abs Charges</t>
  </si>
  <si>
    <t>CRR: Sum of Abs Credits</t>
  </si>
  <si>
    <t>CRR: Sum of Abs Charges</t>
  </si>
  <si>
    <t>CRR: Sum of Abs Credits &amp; Charges</t>
  </si>
  <si>
    <t>Total MWh for Allocation Option 1</t>
  </si>
  <si>
    <t>Default dollar Allocation Option 1</t>
  </si>
  <si>
    <t>DA CRR Opt (A-B) Sale qty</t>
  </si>
  <si>
    <t>DA CRR Opt (B-A) Sale qty</t>
  </si>
  <si>
    <t>DA CRR Obl (A-B) Sale qty</t>
  </si>
  <si>
    <t>DA CRR Obl (B-A) Sale qty</t>
  </si>
  <si>
    <t>DAM: Max of Sales or Purchases</t>
  </si>
  <si>
    <t>CRR: Max of Sales or Purchases</t>
  </si>
  <si>
    <t>RTM/DAM: Max(Gen,Sale) @ A</t>
  </si>
  <si>
    <t>RTM/DAM: Max(Load,Purchases) @ A</t>
  </si>
  <si>
    <t>RTM/DAM: Max(Gen,Sale) @ B</t>
  </si>
  <si>
    <t>RTM/DAM: Max(Load,Purchases) @ B</t>
  </si>
  <si>
    <t>RTM/DAM: Max of Sales or Purchases</t>
  </si>
  <si>
    <t>QSE Description</t>
  </si>
  <si>
    <t>Gen &amp; Load QSE fully hedging with CRRs and clearing everything in DAM</t>
  </si>
  <si>
    <t>REP buying all its energy from ERCOT RTM</t>
  </si>
  <si>
    <t>REP buying all its energy bilaterally submitting Energy Trades &amp; Self-Schedules</t>
  </si>
  <si>
    <t>Total MWh for Allocation Option 4(a)</t>
  </si>
  <si>
    <t>Percentage Option 4(a)</t>
  </si>
  <si>
    <t>Default dollar Allocation Option 4(a)</t>
  </si>
  <si>
    <t>System Total - sum of all QSEs</t>
  </si>
  <si>
    <t>RT CRR Opt (A-B) Sale qty</t>
  </si>
  <si>
    <t>RT CRR Opt (B-A) Sale qty</t>
  </si>
  <si>
    <t>RT PTP Obl (A-B) Sale qty</t>
  </si>
  <si>
    <t>RT PTP Obl (B-A) Sale qty</t>
  </si>
  <si>
    <t>Typical Gen &amp; Load QSE - 30% DAM, 25% RTM, 70% CRR</t>
  </si>
  <si>
    <t>Generation Only QSE selling 30% in DAM &amp; all bilaterally at Resource Node</t>
  </si>
  <si>
    <t>REP buying all its energy from ERCOT DAM</t>
  </si>
  <si>
    <t>Financial Player in CRR and DAM</t>
  </si>
  <si>
    <t>Gen &amp; Load QSE fully hedging with CRRs and clearing everything in RTM w/Self-Schedules</t>
  </si>
  <si>
    <t>Load with 50% Generation and CRR and buying rest in DAM</t>
  </si>
  <si>
    <t>Financial Player - CRR market only (buy in Annual Auction &amp; sell in Monthly Auction)</t>
  </si>
  <si>
    <t>Total $ for Allocation Option 1</t>
  </si>
  <si>
    <t>Total MWh for Allocation Option 3</t>
  </si>
  <si>
    <t>Percentage Option 3</t>
  </si>
  <si>
    <t>Default dollar Allocation Option 3</t>
  </si>
  <si>
    <t>RTM: Sum of Abs QuantitiesXPrices</t>
  </si>
  <si>
    <t>Total $ for Allocation Option 2</t>
  </si>
  <si>
    <t>Percentage Option 2</t>
  </si>
  <si>
    <t>Default dollar Allocation Option 2</t>
  </si>
  <si>
    <t>QSE Size MWh</t>
  </si>
  <si>
    <t>Password to unlock sheets: password</t>
  </si>
  <si>
    <t>(approximately 7% of market)</t>
  </si>
  <si>
    <t>QSE Size MW</t>
  </si>
  <si>
    <t>RTM: Sum of Energy Trade sells</t>
  </si>
  <si>
    <t>RTM: Sum of Energy Trade buys</t>
  </si>
  <si>
    <t>DAM: Sum of Energy Sales</t>
  </si>
  <si>
    <t>DAM: Sum of Energy Purchases</t>
  </si>
  <si>
    <t>DAM: Sum of RT PTP Obligation</t>
  </si>
  <si>
    <t>CRR: Sum of CRR Purchases in CRR</t>
  </si>
  <si>
    <t>Maximum MWh</t>
  </si>
  <si>
    <t>CRR: Sum of CRR Sales in DAM&amp;CRR</t>
  </si>
  <si>
    <t>Total MWh for Allocation Option 4(b)</t>
  </si>
  <si>
    <t>Percentage Option 4(b)</t>
  </si>
  <si>
    <t>Default dollar Allocation Option 4(b)</t>
  </si>
  <si>
    <t>Approximately Seven times Typical Gen &amp; Load QSE - 30% DAM, 25% RTM, 70% CRR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</si>
</sst>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[$-409]dddd\,\ mmmm\ dd\,\ yyyy"/>
    <numFmt numFmtId="172" formatCode="[$-409]h:mm:ss\ AM/PM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167" fontId="0" fillId="0" borderId="0" xfId="42" applyNumberFormat="1" applyFont="1" applyAlignment="1">
      <alignment/>
    </xf>
    <xf numFmtId="167" fontId="2" fillId="22" borderId="10" xfId="42" applyNumberFormat="1" applyFont="1" applyFill="1" applyBorder="1" applyAlignment="1">
      <alignment/>
    </xf>
    <xf numFmtId="0" fontId="0" fillId="25" borderId="0" xfId="0" applyFont="1" applyFill="1" applyAlignment="1">
      <alignment/>
    </xf>
    <xf numFmtId="167" fontId="0" fillId="25" borderId="0" xfId="42" applyNumberFormat="1" applyFont="1" applyFill="1" applyAlignment="1">
      <alignment/>
    </xf>
    <xf numFmtId="3" fontId="0" fillId="25" borderId="0" xfId="0" applyNumberFormat="1" applyFill="1" applyAlignment="1">
      <alignment/>
    </xf>
    <xf numFmtId="167" fontId="0" fillId="0" borderId="0" xfId="0" applyNumberFormat="1" applyAlignment="1">
      <alignment/>
    </xf>
    <xf numFmtId="0" fontId="0" fillId="24" borderId="10" xfId="0" applyFont="1" applyFill="1" applyBorder="1" applyAlignment="1">
      <alignment/>
    </xf>
    <xf numFmtId="165" fontId="2" fillId="22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7" fontId="0" fillId="25" borderId="10" xfId="42" applyNumberFormat="1" applyFont="1" applyFill="1" applyBorder="1" applyAlignment="1">
      <alignment/>
    </xf>
    <xf numFmtId="9" fontId="0" fillId="25" borderId="0" xfId="59" applyFont="1" applyFill="1" applyAlignment="1">
      <alignment/>
    </xf>
    <xf numFmtId="167" fontId="0" fillId="0" borderId="0" xfId="44" applyNumberFormat="1" applyFont="1" applyAlignment="1">
      <alignment/>
    </xf>
    <xf numFmtId="167" fontId="0" fillId="4" borderId="10" xfId="44" applyNumberFormat="1" applyFont="1" applyFill="1" applyBorder="1" applyAlignment="1">
      <alignment/>
    </xf>
    <xf numFmtId="167" fontId="2" fillId="22" borderId="10" xfId="44" applyNumberFormat="1" applyFont="1" applyFill="1" applyBorder="1" applyAlignment="1">
      <alignment/>
    </xf>
    <xf numFmtId="165" fontId="2" fillId="22" borderId="10" xfId="44" applyNumberFormat="1" applyFont="1" applyFill="1" applyBorder="1" applyAlignment="1">
      <alignment/>
    </xf>
    <xf numFmtId="169" fontId="2" fillId="22" borderId="10" xfId="47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167" fontId="0" fillId="25" borderId="10" xfId="44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0" fillId="26" borderId="10" xfId="0" applyFont="1" applyFill="1" applyBorder="1" applyAlignment="1">
      <alignment wrapText="1"/>
    </xf>
    <xf numFmtId="167" fontId="2" fillId="26" borderId="10" xfId="44" applyNumberFormat="1" applyFont="1" applyFill="1" applyBorder="1" applyAlignment="1">
      <alignment wrapText="1"/>
    </xf>
    <xf numFmtId="44" fontId="0" fillId="24" borderId="10" xfId="45" applyFont="1" applyFill="1" applyBorder="1" applyAlignment="1">
      <alignment/>
    </xf>
    <xf numFmtId="169" fontId="0" fillId="24" borderId="10" xfId="45" applyNumberFormat="1" applyFont="1" applyFill="1" applyBorder="1" applyAlignment="1">
      <alignment/>
    </xf>
    <xf numFmtId="0" fontId="2" fillId="26" borderId="10" xfId="0" applyFont="1" applyFill="1" applyBorder="1" applyAlignment="1">
      <alignment wrapText="1"/>
    </xf>
    <xf numFmtId="10" fontId="2" fillId="22" borderId="10" xfId="59" applyNumberFormat="1" applyFont="1" applyFill="1" applyBorder="1" applyAlignment="1">
      <alignment/>
    </xf>
    <xf numFmtId="169" fontId="2" fillId="22" borderId="10" xfId="45" applyNumberFormat="1" applyFont="1" applyFill="1" applyBorder="1" applyAlignment="1">
      <alignment/>
    </xf>
    <xf numFmtId="0" fontId="0" fillId="24" borderId="10" xfId="0" applyFill="1" applyBorder="1" applyAlignment="1" applyProtection="1">
      <alignment/>
      <protection locked="0"/>
    </xf>
    <xf numFmtId="169" fontId="0" fillId="4" borderId="10" xfId="45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4" fontId="0" fillId="4" borderId="10" xfId="45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167" fontId="0" fillId="25" borderId="0" xfId="42" applyNumberFormat="1" applyFont="1" applyFill="1" applyAlignment="1" applyProtection="1">
      <alignment/>
      <protection locked="0"/>
    </xf>
    <xf numFmtId="3" fontId="0" fillId="25" borderId="0" xfId="0" applyNumberFormat="1" applyFill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167" fontId="0" fillId="25" borderId="10" xfId="44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2.00390625" style="0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4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ht="18.75" customHeight="1">
      <c r="A1" s="1" t="s">
        <v>0</v>
      </c>
    </row>
    <row r="2" spans="1:7" ht="12.75">
      <c r="A2" s="31" t="s">
        <v>3</v>
      </c>
      <c r="B2" s="32">
        <v>20000000</v>
      </c>
      <c r="C2" s="33"/>
      <c r="D2" s="34"/>
      <c r="E2" s="48" t="s">
        <v>115</v>
      </c>
      <c r="F2" s="33"/>
      <c r="G2" s="33"/>
    </row>
    <row r="3" spans="1:7" ht="12.75">
      <c r="A3" s="33"/>
      <c r="B3" s="33" t="s">
        <v>15</v>
      </c>
      <c r="C3" s="33" t="s">
        <v>16</v>
      </c>
      <c r="D3" s="34" t="s">
        <v>60</v>
      </c>
      <c r="E3" s="33"/>
      <c r="F3" s="33"/>
      <c r="G3" s="33"/>
    </row>
    <row r="4" spans="1:13" ht="12.75">
      <c r="A4" s="31" t="s">
        <v>1</v>
      </c>
      <c r="B4" s="35">
        <v>45</v>
      </c>
      <c r="C4" s="35">
        <v>40</v>
      </c>
      <c r="D4" s="35"/>
      <c r="E4" s="36" t="s">
        <v>36</v>
      </c>
      <c r="F4" s="36"/>
      <c r="G4" s="37">
        <v>56500</v>
      </c>
      <c r="H4" s="4"/>
      <c r="M4"/>
    </row>
    <row r="5" spans="1:13" ht="12.75">
      <c r="A5" s="31" t="s">
        <v>2</v>
      </c>
      <c r="B5" s="35">
        <v>50</v>
      </c>
      <c r="C5" s="35">
        <v>48</v>
      </c>
      <c r="D5" s="35"/>
      <c r="E5" s="36" t="s">
        <v>31</v>
      </c>
      <c r="F5" s="36"/>
      <c r="G5" s="38">
        <v>28000000</v>
      </c>
      <c r="H5" s="4"/>
      <c r="M5"/>
    </row>
    <row r="6" spans="1:13" ht="12.75">
      <c r="A6" s="39" t="s">
        <v>61</v>
      </c>
      <c r="B6" s="35">
        <f>B5-B4</f>
        <v>5</v>
      </c>
      <c r="C6" s="35">
        <f>C5-C4</f>
        <v>8</v>
      </c>
      <c r="D6" s="35">
        <v>6</v>
      </c>
      <c r="E6" s="36"/>
      <c r="F6" s="36"/>
      <c r="G6" s="38"/>
      <c r="H6" s="4"/>
      <c r="M6"/>
    </row>
    <row r="7" spans="1:13" ht="12.75">
      <c r="A7" s="39" t="s">
        <v>62</v>
      </c>
      <c r="B7" s="35">
        <f>B4-B5</f>
        <v>-5</v>
      </c>
      <c r="C7" s="35">
        <f>C4-C5</f>
        <v>-8</v>
      </c>
      <c r="D7" s="35">
        <f>-D6</f>
        <v>-6</v>
      </c>
      <c r="E7" s="40" t="s">
        <v>114</v>
      </c>
      <c r="F7" s="36"/>
      <c r="G7" s="38">
        <v>2000000</v>
      </c>
      <c r="H7" s="4"/>
      <c r="M7"/>
    </row>
    <row r="8" spans="1:13" ht="12.75">
      <c r="A8" s="39" t="s">
        <v>63</v>
      </c>
      <c r="B8" s="35">
        <f>MAX(0,B5-B4)</f>
        <v>5</v>
      </c>
      <c r="C8" s="35">
        <f>MAX(0,C5-C4)</f>
        <v>8</v>
      </c>
      <c r="D8" s="35">
        <v>10</v>
      </c>
      <c r="E8" s="40" t="s">
        <v>116</v>
      </c>
      <c r="F8" s="36"/>
      <c r="G8" s="38"/>
      <c r="H8" s="4"/>
      <c r="M8"/>
    </row>
    <row r="9" spans="1:13" ht="12.75">
      <c r="A9" s="39" t="s">
        <v>64</v>
      </c>
      <c r="B9" s="35">
        <f>MAX(0,B4-B5)</f>
        <v>0</v>
      </c>
      <c r="C9" s="35">
        <f>MAX(0,C4-C5)</f>
        <v>0</v>
      </c>
      <c r="D9" s="35">
        <v>2</v>
      </c>
      <c r="E9" s="40" t="s">
        <v>117</v>
      </c>
      <c r="F9" s="36"/>
      <c r="G9" s="38">
        <v>4000</v>
      </c>
      <c r="H9" s="4"/>
      <c r="M9"/>
    </row>
    <row r="10" ht="11.25" customHeight="1"/>
    <row r="11" spans="1:14" ht="114.75">
      <c r="A11" s="28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Approximately Seven times Typical Gen &amp; Load QSE - 30% DAM, 25% RTM, 70% CRR</v>
      </c>
      <c r="M11" s="28" t="str">
        <f>'QSE Portfolio'!M1</f>
        <v>System Total - sum of all QSEs</v>
      </c>
      <c r="N11" s="13"/>
    </row>
    <row r="12" ht="12.75">
      <c r="M12"/>
    </row>
    <row r="13" spans="1:13" ht="12.75">
      <c r="A13" s="3" t="s">
        <v>106</v>
      </c>
      <c r="B13" s="5">
        <f>'Option 1'!B67</f>
        <v>96000000</v>
      </c>
      <c r="C13" s="5">
        <f>'Option 1'!C67</f>
        <v>16000000</v>
      </c>
      <c r="D13" s="5">
        <f>'Option 1'!D67</f>
        <v>100000000</v>
      </c>
      <c r="E13" s="5">
        <f>'Option 1'!E67</f>
        <v>64000000</v>
      </c>
      <c r="F13" s="5">
        <f>'Option 1'!F67</f>
        <v>212000000</v>
      </c>
      <c r="G13" s="5">
        <f>'Option 1'!G67</f>
        <v>64000000</v>
      </c>
      <c r="H13" s="5">
        <f>'Option 1'!H67</f>
        <v>141800000</v>
      </c>
      <c r="I13" s="5">
        <f>'Option 1'!I67</f>
        <v>54000000</v>
      </c>
      <c r="J13" s="5">
        <f>'Option 1'!J67</f>
        <v>228000000</v>
      </c>
      <c r="K13" s="5">
        <f>'Option 1'!K67</f>
        <v>24000000</v>
      </c>
      <c r="L13" s="5">
        <f>'Option 1'!L67</f>
        <v>1207600000</v>
      </c>
      <c r="M13" s="5">
        <f>'Option 1'!M67</f>
        <v>2207400000</v>
      </c>
    </row>
    <row r="14" spans="1:13" ht="12.75">
      <c r="A14" s="3" t="s">
        <v>4</v>
      </c>
      <c r="B14" s="29">
        <f>'Option 1'!B68</f>
        <v>0.04349007882576787</v>
      </c>
      <c r="C14" s="29">
        <f>'Option 1'!C68</f>
        <v>0.007248346470961312</v>
      </c>
      <c r="D14" s="29">
        <f>'Option 1'!D68</f>
        <v>0.0453021654435082</v>
      </c>
      <c r="E14" s="29">
        <f>'Option 1'!E68</f>
        <v>0.028993385883845247</v>
      </c>
      <c r="F14" s="29">
        <f>'Option 1'!F68</f>
        <v>0.09604059074023738</v>
      </c>
      <c r="G14" s="29">
        <f>'Option 1'!G68</f>
        <v>0.028993385883845247</v>
      </c>
      <c r="H14" s="29">
        <f>'Option 1'!H68</f>
        <v>0.06423847059889462</v>
      </c>
      <c r="I14" s="29">
        <f>'Option 1'!I68</f>
        <v>0.02446316933949443</v>
      </c>
      <c r="J14" s="29">
        <f>'Option 1'!J68</f>
        <v>0.1032889372111987</v>
      </c>
      <c r="K14" s="29">
        <f>'Option 1'!K68</f>
        <v>0.010872519706441968</v>
      </c>
      <c r="L14" s="29">
        <f>'Option 1'!L68</f>
        <v>0.547068949895805</v>
      </c>
      <c r="M14" s="29">
        <f>'Option 1'!M68</f>
        <v>1</v>
      </c>
    </row>
    <row r="15" spans="1:13" ht="12.75">
      <c r="A15" s="3" t="s">
        <v>75</v>
      </c>
      <c r="B15" s="30">
        <f>'Option 1'!B69</f>
        <v>869801.5765153575</v>
      </c>
      <c r="C15" s="30">
        <f>'Option 1'!C69</f>
        <v>144966.92941922625</v>
      </c>
      <c r="D15" s="30">
        <f>'Option 1'!D69</f>
        <v>906043.308870164</v>
      </c>
      <c r="E15" s="30">
        <f>'Option 1'!E69</f>
        <v>579867.717676905</v>
      </c>
      <c r="F15" s="30">
        <f>'Option 1'!F69</f>
        <v>1920811.8148047477</v>
      </c>
      <c r="G15" s="30">
        <f>'Option 1'!G69</f>
        <v>579867.717676905</v>
      </c>
      <c r="H15" s="30">
        <f>'Option 1'!H69</f>
        <v>1284769.4119778925</v>
      </c>
      <c r="I15" s="30">
        <f>'Option 1'!I69</f>
        <v>489263.38678988855</v>
      </c>
      <c r="J15" s="30">
        <f>'Option 1'!J69</f>
        <v>2065778.744223974</v>
      </c>
      <c r="K15" s="30">
        <f>'Option 1'!K69</f>
        <v>217450.39412883937</v>
      </c>
      <c r="L15" s="30">
        <f>'Option 1'!L69</f>
        <v>10941378.9979161</v>
      </c>
      <c r="M15" s="30">
        <f>'Option 1'!M69</f>
        <v>20000000</v>
      </c>
    </row>
    <row r="17" spans="1:13" ht="12.75">
      <c r="A17" s="3" t="s">
        <v>111</v>
      </c>
      <c r="B17" s="5">
        <f>'Option 2'!B65</f>
        <v>96000000</v>
      </c>
      <c r="C17" s="5">
        <f>'Option 2'!C65</f>
        <v>352000000</v>
      </c>
      <c r="D17" s="5">
        <f>'Option 2'!D65</f>
        <v>196000000</v>
      </c>
      <c r="E17" s="5">
        <f>'Option 2'!E65</f>
        <v>274000000</v>
      </c>
      <c r="F17" s="5">
        <f>'Option 2'!F65</f>
        <v>376000000</v>
      </c>
      <c r="G17" s="5">
        <f>'Option 2'!G65</f>
        <v>388000000</v>
      </c>
      <c r="H17" s="5">
        <f>'Option 2'!H65</f>
        <v>337400000</v>
      </c>
      <c r="I17" s="5">
        <f>'Option 2'!I65</f>
        <v>214000000</v>
      </c>
      <c r="J17" s="5">
        <f>'Option 2'!J65</f>
        <v>376000000</v>
      </c>
      <c r="K17" s="5">
        <f>'Option 2'!K65</f>
        <v>0</v>
      </c>
      <c r="L17" s="5">
        <f>'Option 2'!L65</f>
        <v>2696800000</v>
      </c>
      <c r="M17" s="5">
        <f>'Option 2'!M65</f>
        <v>5306200000</v>
      </c>
    </row>
    <row r="18" spans="1:13" ht="12.75">
      <c r="A18" s="3" t="s">
        <v>112</v>
      </c>
      <c r="B18" s="29">
        <f>'Option 2'!B66</f>
        <v>0.01809204327013682</v>
      </c>
      <c r="C18" s="29">
        <f>'Option 2'!C66</f>
        <v>0.06633749199050168</v>
      </c>
      <c r="D18" s="29">
        <f>'Option 2'!D66</f>
        <v>0.036937921676529345</v>
      </c>
      <c r="E18" s="29">
        <f>'Option 2'!E66</f>
        <v>0.05163770683351551</v>
      </c>
      <c r="F18" s="29">
        <f>'Option 2'!F66</f>
        <v>0.07086050280803588</v>
      </c>
      <c r="G18" s="29">
        <f>'Option 2'!G66</f>
        <v>0.07312200821680298</v>
      </c>
      <c r="H18" s="29">
        <f>'Option 2'!H66</f>
        <v>0.06358599374316837</v>
      </c>
      <c r="I18" s="29">
        <f>'Option 2'!I66</f>
        <v>0.040330179789679996</v>
      </c>
      <c r="J18" s="29">
        <f>'Option 2'!J66</f>
        <v>0.07086050280803588</v>
      </c>
      <c r="K18" s="29">
        <f>'Option 2'!K66</f>
        <v>0</v>
      </c>
      <c r="L18" s="29">
        <f>'Option 2'!L66</f>
        <v>0.5082356488635935</v>
      </c>
      <c r="M18" s="29">
        <f>'Option 2'!M66</f>
        <v>1</v>
      </c>
    </row>
    <row r="19" spans="1:13" ht="12.75">
      <c r="A19" s="3" t="s">
        <v>113</v>
      </c>
      <c r="B19" s="30">
        <f>'Option 2'!B67</f>
        <v>361840.8654027364</v>
      </c>
      <c r="C19" s="30">
        <f>'Option 2'!C67</f>
        <v>1326749.8398100336</v>
      </c>
      <c r="D19" s="30">
        <f>'Option 2'!D67</f>
        <v>738758.4335305869</v>
      </c>
      <c r="E19" s="30">
        <f>'Option 2'!E67</f>
        <v>1032754.1366703103</v>
      </c>
      <c r="F19" s="30">
        <f>'Option 2'!F67</f>
        <v>1417210.0561607175</v>
      </c>
      <c r="G19" s="30">
        <f>'Option 2'!G67</f>
        <v>1462440.1643360597</v>
      </c>
      <c r="H19" s="30">
        <f>'Option 2'!H67</f>
        <v>1271719.8748633673</v>
      </c>
      <c r="I19" s="30">
        <f>'Option 2'!I67</f>
        <v>806603.5957936</v>
      </c>
      <c r="J19" s="30">
        <f>'Option 2'!J67</f>
        <v>1417210.0561607175</v>
      </c>
      <c r="K19" s="30">
        <f>'Option 2'!K67</f>
        <v>0</v>
      </c>
      <c r="L19" s="30">
        <f>'Option 2'!L67</f>
        <v>10164712.97727187</v>
      </c>
      <c r="M19" s="30">
        <f>'Option 2'!M67</f>
        <v>20000000</v>
      </c>
    </row>
    <row r="21" spans="1:13" ht="12.75">
      <c r="A21" s="3" t="s">
        <v>107</v>
      </c>
      <c r="B21" s="18">
        <f>'Option 3'!B57</f>
        <v>2000000</v>
      </c>
      <c r="C21" s="18">
        <f>'Option 3'!C57</f>
        <v>8000000</v>
      </c>
      <c r="D21" s="18">
        <f>'Option 3'!D57</f>
        <v>4000000</v>
      </c>
      <c r="E21" s="18">
        <f>'Option 3'!E57</f>
        <v>6000000</v>
      </c>
      <c r="F21" s="18">
        <f>'Option 3'!F57</f>
        <v>10000000</v>
      </c>
      <c r="G21" s="18">
        <f>'Option 3'!G57</f>
        <v>14000000</v>
      </c>
      <c r="H21" s="18">
        <f>'Option 3'!H57</f>
        <v>11200000</v>
      </c>
      <c r="I21" s="18">
        <f>'Option 3'!I57</f>
        <v>5200000</v>
      </c>
      <c r="J21" s="18">
        <f>'Option 3'!J57</f>
        <v>10000000</v>
      </c>
      <c r="K21" s="18">
        <f>'Option 3'!K57</f>
        <v>0</v>
      </c>
      <c r="L21" s="18">
        <f>'Option 3'!L57</f>
        <v>86400000</v>
      </c>
      <c r="M21" s="18">
        <f>'Option 3'!M57</f>
        <v>156800000</v>
      </c>
    </row>
    <row r="22" spans="1:13" ht="12.75">
      <c r="A22" s="3" t="s">
        <v>108</v>
      </c>
      <c r="B22" s="29">
        <f>'Option 3'!B58</f>
        <v>0.012755102040816327</v>
      </c>
      <c r="C22" s="29">
        <f>'Option 3'!C58</f>
        <v>0.05102040816326531</v>
      </c>
      <c r="D22" s="29">
        <f>'Option 3'!D58</f>
        <v>0.025510204081632654</v>
      </c>
      <c r="E22" s="29">
        <f>'Option 3'!E58</f>
        <v>0.03826530612244898</v>
      </c>
      <c r="F22" s="29">
        <f>'Option 3'!F58</f>
        <v>0.06377551020408163</v>
      </c>
      <c r="G22" s="29">
        <f>'Option 3'!G58</f>
        <v>0.08928571428571429</v>
      </c>
      <c r="H22" s="29">
        <f>'Option 3'!H58</f>
        <v>0.07142857142857142</v>
      </c>
      <c r="I22" s="29">
        <f>'Option 3'!I58</f>
        <v>0.03316326530612245</v>
      </c>
      <c r="J22" s="29">
        <f>'Option 3'!J58</f>
        <v>0.06377551020408163</v>
      </c>
      <c r="K22" s="29">
        <f>'Option 3'!K58</f>
        <v>0</v>
      </c>
      <c r="L22" s="29">
        <f>'Option 3'!L58</f>
        <v>0.5510204081632653</v>
      </c>
      <c r="M22" s="29">
        <f>'Option 3'!M58</f>
        <v>1</v>
      </c>
    </row>
    <row r="23" spans="1:13" ht="12.75">
      <c r="A23" s="3" t="s">
        <v>109</v>
      </c>
      <c r="B23" s="18">
        <f>'Option 3'!B59</f>
        <v>255102.04081632654</v>
      </c>
      <c r="C23" s="18">
        <f>'Option 3'!C59</f>
        <v>1020408.1632653062</v>
      </c>
      <c r="D23" s="18">
        <f>'Option 3'!D59</f>
        <v>510204.0816326531</v>
      </c>
      <c r="E23" s="18">
        <f>'Option 3'!E59</f>
        <v>765306.1224489796</v>
      </c>
      <c r="F23" s="18">
        <f>'Option 3'!F59</f>
        <v>1275510.2040816327</v>
      </c>
      <c r="G23" s="18">
        <f>'Option 3'!G59</f>
        <v>1785714.2857142857</v>
      </c>
      <c r="H23" s="18">
        <f>'Option 3'!H59</f>
        <v>1428571.4285714284</v>
      </c>
      <c r="I23" s="18">
        <f>'Option 3'!I59</f>
        <v>663265.306122449</v>
      </c>
      <c r="J23" s="18">
        <f>'Option 3'!J59</f>
        <v>1275510.2040816327</v>
      </c>
      <c r="K23" s="18">
        <f>'Option 3'!K59</f>
        <v>0</v>
      </c>
      <c r="L23" s="18">
        <f>'Option 3'!L59</f>
        <v>11020408.163265305</v>
      </c>
      <c r="M23" s="18">
        <f>'Option 3'!M59</f>
        <v>20000000</v>
      </c>
    </row>
    <row r="25" spans="1:13" ht="12.75">
      <c r="A25" s="3" t="s">
        <v>59</v>
      </c>
      <c r="B25" s="18">
        <f>'Option 4'!B71</f>
        <v>2000000</v>
      </c>
      <c r="C25" s="18">
        <f>'Option 4'!C71</f>
        <v>2000000</v>
      </c>
      <c r="D25" s="18">
        <f>'Option 4'!D71</f>
        <v>4000000</v>
      </c>
      <c r="E25" s="18">
        <f>'Option 4'!E71</f>
        <v>4000000</v>
      </c>
      <c r="F25" s="18">
        <f>'Option 4'!F71</f>
        <v>8000000</v>
      </c>
      <c r="G25" s="18">
        <f>'Option 4'!G71</f>
        <v>6000000</v>
      </c>
      <c r="H25" s="18">
        <f>'Option 4'!H71</f>
        <v>5400000</v>
      </c>
      <c r="I25" s="18">
        <f>'Option 4'!I71</f>
        <v>2600000</v>
      </c>
      <c r="J25" s="18">
        <f>'Option 4'!J71</f>
        <v>6000000</v>
      </c>
      <c r="K25" s="18">
        <f>'Option 4'!K71</f>
        <v>2000000</v>
      </c>
      <c r="L25" s="18">
        <f>'Option 4'!L71</f>
        <v>45800000</v>
      </c>
      <c r="M25" s="18">
        <f>'Option 4'!M71</f>
        <v>87800000</v>
      </c>
    </row>
    <row r="26" spans="1:13" ht="12.75">
      <c r="A26" s="3" t="s">
        <v>58</v>
      </c>
      <c r="B26" s="29">
        <f>'Option 4'!B72</f>
        <v>0.022779043280182234</v>
      </c>
      <c r="C26" s="29">
        <f>'Option 4'!C72</f>
        <v>0.022779043280182234</v>
      </c>
      <c r="D26" s="29">
        <f>'Option 4'!D72</f>
        <v>0.04555808656036447</v>
      </c>
      <c r="E26" s="29">
        <f>'Option 4'!E72</f>
        <v>0.04555808656036447</v>
      </c>
      <c r="F26" s="29">
        <f>'Option 4'!F72</f>
        <v>0.09111617312072894</v>
      </c>
      <c r="G26" s="29">
        <f>'Option 4'!G72</f>
        <v>0.0683371298405467</v>
      </c>
      <c r="H26" s="29">
        <f>'Option 4'!H72</f>
        <v>0.06150341685649203</v>
      </c>
      <c r="I26" s="29">
        <f>'Option 4'!I72</f>
        <v>0.029612756264236904</v>
      </c>
      <c r="J26" s="29">
        <f>'Option 4'!J72</f>
        <v>0.0683371298405467</v>
      </c>
      <c r="K26" s="29">
        <f>'Option 4'!K72</f>
        <v>0.022779043280182234</v>
      </c>
      <c r="L26" s="29">
        <f>'Option 4'!L72</f>
        <v>0.5216400911161732</v>
      </c>
      <c r="M26" s="29">
        <f>'Option 4'!M72</f>
        <v>1</v>
      </c>
    </row>
    <row r="27" spans="1:13" ht="12.75">
      <c r="A27" s="3" t="s">
        <v>57</v>
      </c>
      <c r="B27" s="30">
        <f>'Option 4'!B73</f>
        <v>455580.8656036447</v>
      </c>
      <c r="C27" s="30">
        <f>'Option 4'!C73</f>
        <v>455580.8656036447</v>
      </c>
      <c r="D27" s="30">
        <f>'Option 4'!D73</f>
        <v>911161.7312072894</v>
      </c>
      <c r="E27" s="30">
        <f>'Option 4'!E73</f>
        <v>911161.7312072894</v>
      </c>
      <c r="F27" s="30">
        <f>'Option 4'!F73</f>
        <v>1822323.4624145788</v>
      </c>
      <c r="G27" s="30">
        <f>'Option 4'!G73</f>
        <v>1366742.596810934</v>
      </c>
      <c r="H27" s="30">
        <f>'Option 4'!H73</f>
        <v>1230068.3371298406</v>
      </c>
      <c r="I27" s="30">
        <f>'Option 4'!I73</f>
        <v>592255.125284738</v>
      </c>
      <c r="J27" s="30">
        <f>'Option 4'!J73</f>
        <v>1366742.596810934</v>
      </c>
      <c r="K27" s="30">
        <f>'Option 4'!K73</f>
        <v>455580.8656036447</v>
      </c>
      <c r="L27" s="30">
        <f>'Option 4'!L73</f>
        <v>10432801.822323464</v>
      </c>
      <c r="M27" s="30">
        <f>'Option 4'!M73</f>
        <v>20000000</v>
      </c>
    </row>
    <row r="29" spans="1:13" ht="12.75">
      <c r="A29" s="3" t="s">
        <v>91</v>
      </c>
      <c r="B29" s="18">
        <f>'Option 4 (a)'!B68</f>
        <v>2000000</v>
      </c>
      <c r="C29" s="18">
        <f>'Option 4 (a)'!C68</f>
        <v>2000000</v>
      </c>
      <c r="D29" s="18">
        <f>'Option 4 (a)'!D68</f>
        <v>2000000</v>
      </c>
      <c r="E29" s="18">
        <f>'Option 4 (a)'!E68</f>
        <v>3000000</v>
      </c>
      <c r="F29" s="18">
        <f>'Option 4 (a)'!F68</f>
        <v>6000000</v>
      </c>
      <c r="G29" s="18">
        <f>'Option 4 (a)'!G68</f>
        <v>6000000</v>
      </c>
      <c r="H29" s="18">
        <f>'Option 4 (a)'!H68</f>
        <v>4800000</v>
      </c>
      <c r="I29" s="18">
        <f>'Option 4 (a)'!I68</f>
        <v>2000000</v>
      </c>
      <c r="J29" s="18">
        <f>'Option 4 (a)'!J68</f>
        <v>6000000</v>
      </c>
      <c r="K29" s="18">
        <f>'Option 4 (a)'!K68</f>
        <v>2000000</v>
      </c>
      <c r="L29" s="18">
        <f>'Option 4 (a)'!L68</f>
        <v>38600000</v>
      </c>
      <c r="M29" s="18">
        <f>'Option 4 (a)'!M68</f>
        <v>74400000</v>
      </c>
    </row>
    <row r="30" spans="1:13" ht="12.75">
      <c r="A30" s="3" t="s">
        <v>92</v>
      </c>
      <c r="B30" s="29">
        <f>'Option 4 (a)'!B69</f>
        <v>0.026881720430107527</v>
      </c>
      <c r="C30" s="29">
        <f>'Option 4 (a)'!C69</f>
        <v>0.026881720430107527</v>
      </c>
      <c r="D30" s="29">
        <f>'Option 4 (a)'!D69</f>
        <v>0.026881720430107527</v>
      </c>
      <c r="E30" s="29">
        <f>'Option 4 (a)'!E69</f>
        <v>0.04032258064516129</v>
      </c>
      <c r="F30" s="29">
        <f>'Option 4 (a)'!F69</f>
        <v>0.08064516129032258</v>
      </c>
      <c r="G30" s="29">
        <f>'Option 4 (a)'!G69</f>
        <v>0.08064516129032258</v>
      </c>
      <c r="H30" s="29">
        <f>'Option 4 (a)'!H69</f>
        <v>0.06451612903225806</v>
      </c>
      <c r="I30" s="29">
        <f>'Option 4 (a)'!I69</f>
        <v>0.026881720430107527</v>
      </c>
      <c r="J30" s="29">
        <f>'Option 4 (a)'!J69</f>
        <v>0.08064516129032258</v>
      </c>
      <c r="K30" s="29">
        <f>'Option 4 (a)'!K69</f>
        <v>0.026881720430107527</v>
      </c>
      <c r="L30" s="29">
        <f>'Option 4 (a)'!L69</f>
        <v>0.5188172043010753</v>
      </c>
      <c r="M30" s="29">
        <f>'Option 4 (a)'!M69</f>
        <v>1</v>
      </c>
    </row>
    <row r="31" spans="1:13" ht="12.75">
      <c r="A31" s="3" t="s">
        <v>93</v>
      </c>
      <c r="B31" s="30">
        <f>'Option 4 (a)'!B70</f>
        <v>537634.4086021505</v>
      </c>
      <c r="C31" s="30">
        <f>'Option 4 (a)'!C70</f>
        <v>537634.4086021505</v>
      </c>
      <c r="D31" s="30">
        <f>'Option 4 (a)'!D70</f>
        <v>537634.4086021505</v>
      </c>
      <c r="E31" s="30">
        <f>'Option 4 (a)'!E70</f>
        <v>806451.6129032258</v>
      </c>
      <c r="F31" s="30">
        <f>'Option 4 (a)'!F70</f>
        <v>1612903.2258064516</v>
      </c>
      <c r="G31" s="30">
        <f>'Option 4 (a)'!G70</f>
        <v>1612903.2258064516</v>
      </c>
      <c r="H31" s="30">
        <f>'Option 4 (a)'!H70</f>
        <v>1290322.5806451612</v>
      </c>
      <c r="I31" s="30">
        <f>'Option 4 (a)'!I70</f>
        <v>537634.4086021505</v>
      </c>
      <c r="J31" s="30">
        <f>'Option 4 (a)'!J70</f>
        <v>1612903.2258064516</v>
      </c>
      <c r="K31" s="30">
        <f>'Option 4 (a)'!K70</f>
        <v>537634.4086021505</v>
      </c>
      <c r="L31" s="30">
        <f>'Option 4 (a)'!L70</f>
        <v>10376344.086021505</v>
      </c>
      <c r="M31" s="30">
        <f>'Option 4 (a)'!M70</f>
        <v>20000000</v>
      </c>
    </row>
    <row r="32" ht="12.75">
      <c r="M32" s="16"/>
    </row>
    <row r="33" spans="1:13" ht="12.75">
      <c r="A33" s="3" t="s">
        <v>126</v>
      </c>
      <c r="B33" s="18">
        <f>'Option 4 (b)'!B68</f>
        <v>2000000</v>
      </c>
      <c r="C33" s="18">
        <f>'Option 4 (b)'!C68</f>
        <v>2000000</v>
      </c>
      <c r="D33" s="18">
        <f>'Option 4 (b)'!D68</f>
        <v>2000000</v>
      </c>
      <c r="E33" s="18">
        <f>'Option 4 (b)'!E68</f>
        <v>2000000</v>
      </c>
      <c r="F33" s="18">
        <f>'Option 4 (b)'!F68</f>
        <v>2000000</v>
      </c>
      <c r="G33" s="18">
        <f>'Option 4 (b)'!G68</f>
        <v>2000000</v>
      </c>
      <c r="H33" s="18">
        <f>'Option 4 (b)'!H68</f>
        <v>2000000</v>
      </c>
      <c r="I33" s="18">
        <f>'Option 4 (b)'!I68</f>
        <v>2000000</v>
      </c>
      <c r="J33" s="18">
        <f>'Option 4 (b)'!J68</f>
        <v>2000000</v>
      </c>
      <c r="K33" s="18">
        <f>'Option 4 (b)'!K68</f>
        <v>2000000</v>
      </c>
      <c r="L33" s="18">
        <f>'Option 4 (b)'!L68</f>
        <v>19000000</v>
      </c>
      <c r="M33" s="18">
        <f>'Option 4 (b)'!M68</f>
        <v>39000000</v>
      </c>
    </row>
    <row r="34" spans="1:13" ht="12.75">
      <c r="A34" s="3" t="s">
        <v>127</v>
      </c>
      <c r="B34" s="29">
        <f>'Option 4 (b)'!B69</f>
        <v>0.05128205128205128</v>
      </c>
      <c r="C34" s="29">
        <f>'Option 4 (b)'!C69</f>
        <v>0.05128205128205128</v>
      </c>
      <c r="D34" s="29">
        <f>'Option 4 (b)'!D69</f>
        <v>0.05128205128205128</v>
      </c>
      <c r="E34" s="29">
        <f>'Option 4 (b)'!E69</f>
        <v>0.05128205128205128</v>
      </c>
      <c r="F34" s="29">
        <f>'Option 4 (b)'!F69</f>
        <v>0.05128205128205128</v>
      </c>
      <c r="G34" s="29">
        <f>'Option 4 (b)'!G69</f>
        <v>0.05128205128205128</v>
      </c>
      <c r="H34" s="29">
        <f>'Option 4 (b)'!H69</f>
        <v>0.05128205128205128</v>
      </c>
      <c r="I34" s="29">
        <f>'Option 4 (b)'!I69</f>
        <v>0.05128205128205128</v>
      </c>
      <c r="J34" s="29">
        <f>'Option 4 (b)'!J69</f>
        <v>0.05128205128205128</v>
      </c>
      <c r="K34" s="29">
        <f>'Option 4 (b)'!K69</f>
        <v>0.05128205128205128</v>
      </c>
      <c r="L34" s="29">
        <f>'Option 4 (b)'!L69</f>
        <v>0.48717948717948717</v>
      </c>
      <c r="M34" s="29">
        <f>'Option 4 (b)'!M69</f>
        <v>1</v>
      </c>
    </row>
    <row r="35" spans="1:13" ht="12.75">
      <c r="A35" s="3" t="s">
        <v>128</v>
      </c>
      <c r="B35" s="30">
        <f>'Option 4 (b)'!B70</f>
        <v>1025641.0256410256</v>
      </c>
      <c r="C35" s="30">
        <f>'Option 4 (b)'!C70</f>
        <v>1025641.0256410256</v>
      </c>
      <c r="D35" s="30">
        <f>'Option 4 (b)'!D70</f>
        <v>1025641.0256410256</v>
      </c>
      <c r="E35" s="30">
        <f>'Option 4 (b)'!E70</f>
        <v>1025641.0256410256</v>
      </c>
      <c r="F35" s="30">
        <f>'Option 4 (b)'!F70</f>
        <v>1025641.0256410256</v>
      </c>
      <c r="G35" s="30">
        <f>'Option 4 (b)'!G70</f>
        <v>1025641.0256410256</v>
      </c>
      <c r="H35" s="30">
        <f>'Option 4 (b)'!H70</f>
        <v>1025641.0256410256</v>
      </c>
      <c r="I35" s="30">
        <f>'Option 4 (b)'!I70</f>
        <v>1025641.0256410256</v>
      </c>
      <c r="J35" s="30">
        <f>'Option 4 (b)'!J70</f>
        <v>1025641.0256410256</v>
      </c>
      <c r="K35" s="30">
        <f>'Option 4 (b)'!K70</f>
        <v>1025641.0256410256</v>
      </c>
      <c r="L35" s="30">
        <f>'Option 4 (b)'!L70</f>
        <v>9743589.743589744</v>
      </c>
      <c r="M35" s="30">
        <f>'Option 4 (b)'!M70</f>
        <v>20000000</v>
      </c>
    </row>
  </sheetData>
  <sheetProtection password="83AF" sheet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421875" style="0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4" customWidth="1"/>
    <col min="14" max="14" width="10.8515625" style="0" customWidth="1"/>
    <col min="15" max="15" width="10.28125" style="0" bestFit="1" customWidth="1"/>
  </cols>
  <sheetData>
    <row r="1" spans="1:14" ht="127.5">
      <c r="A1" s="23" t="s">
        <v>87</v>
      </c>
      <c r="B1" s="24" t="s">
        <v>89</v>
      </c>
      <c r="C1" s="24" t="s">
        <v>90</v>
      </c>
      <c r="D1" s="24" t="s">
        <v>101</v>
      </c>
      <c r="E1" s="24" t="s">
        <v>104</v>
      </c>
      <c r="F1" s="24" t="s">
        <v>88</v>
      </c>
      <c r="G1" s="24" t="s">
        <v>103</v>
      </c>
      <c r="H1" s="24" t="s">
        <v>99</v>
      </c>
      <c r="I1" s="24" t="s">
        <v>100</v>
      </c>
      <c r="J1" s="24" t="s">
        <v>102</v>
      </c>
      <c r="K1" s="24" t="s">
        <v>105</v>
      </c>
      <c r="L1" s="24" t="s">
        <v>129</v>
      </c>
      <c r="M1" s="25" t="s">
        <v>94</v>
      </c>
      <c r="N1" s="13" t="s">
        <v>37</v>
      </c>
    </row>
    <row r="2" spans="1:14" ht="12.75">
      <c r="A2" s="2" t="s">
        <v>23</v>
      </c>
      <c r="B2" s="17"/>
      <c r="C2" s="17"/>
      <c r="D2" s="17"/>
      <c r="E2" s="17"/>
      <c r="F2" s="17">
        <v>2000000</v>
      </c>
      <c r="G2" s="17"/>
      <c r="H2" s="17">
        <f>2000000*0.3</f>
        <v>600000</v>
      </c>
      <c r="I2" s="17">
        <v>600000</v>
      </c>
      <c r="J2" s="17"/>
      <c r="K2" s="17"/>
      <c r="L2" s="17">
        <f>H2*7+3000000</f>
        <v>7200000</v>
      </c>
      <c r="M2" s="14">
        <f>SUM(B2:L2)</f>
        <v>10400000</v>
      </c>
      <c r="N2" s="15">
        <f>M2/Summary!$G$5</f>
        <v>0.37142857142857144</v>
      </c>
    </row>
    <row r="3" spans="1:14" ht="12.75">
      <c r="A3" s="2" t="s">
        <v>24</v>
      </c>
      <c r="B3" s="17"/>
      <c r="C3" s="17"/>
      <c r="D3" s="17"/>
      <c r="E3" s="17"/>
      <c r="F3" s="17"/>
      <c r="G3" s="17"/>
      <c r="H3" s="17"/>
      <c r="I3" s="17">
        <v>600000</v>
      </c>
      <c r="J3" s="17">
        <v>2000000</v>
      </c>
      <c r="K3" s="17"/>
      <c r="L3" s="17">
        <f aca="true" t="shared" si="0" ref="L3:L45">H3*7</f>
        <v>0</v>
      </c>
      <c r="M3" s="14">
        <f aca="true" t="shared" si="1" ref="M3:M45">SUM(B3:L3)</f>
        <v>2600000</v>
      </c>
      <c r="N3" s="15">
        <f>M3/Summary!$G$5</f>
        <v>0.09285714285714286</v>
      </c>
    </row>
    <row r="4" spans="1:14" ht="12.75">
      <c r="A4" s="2" t="s">
        <v>25</v>
      </c>
      <c r="B4" s="17"/>
      <c r="C4" s="17"/>
      <c r="D4" s="17"/>
      <c r="E4" s="17"/>
      <c r="F4" s="17"/>
      <c r="G4" s="17"/>
      <c r="H4" s="17"/>
      <c r="I4" s="17"/>
      <c r="J4" s="17">
        <v>2000000</v>
      </c>
      <c r="K4" s="17"/>
      <c r="L4" s="17">
        <f t="shared" si="0"/>
        <v>0</v>
      </c>
      <c r="M4" s="14">
        <f t="shared" si="1"/>
        <v>2000000</v>
      </c>
      <c r="N4" s="15">
        <f>M4/Summary!$G$5</f>
        <v>0.07142857142857142</v>
      </c>
    </row>
    <row r="5" spans="1:14" ht="12.75">
      <c r="A5" s="2" t="s">
        <v>26</v>
      </c>
      <c r="B5" s="17"/>
      <c r="C5" s="17"/>
      <c r="D5" s="17">
        <v>2000000</v>
      </c>
      <c r="E5" s="17">
        <v>1000000</v>
      </c>
      <c r="F5" s="17">
        <v>2000000</v>
      </c>
      <c r="G5" s="17"/>
      <c r="H5" s="17">
        <f>H2</f>
        <v>600000</v>
      </c>
      <c r="I5" s="17"/>
      <c r="J5" s="17"/>
      <c r="K5" s="17"/>
      <c r="L5" s="17">
        <f t="shared" si="0"/>
        <v>4200000</v>
      </c>
      <c r="M5" s="14">
        <f t="shared" si="1"/>
        <v>9800000</v>
      </c>
      <c r="N5" s="15">
        <f>M5/Summary!$G$5</f>
        <v>0.35</v>
      </c>
    </row>
    <row r="6" spans="1:14" ht="12.75">
      <c r="A6" s="2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>
        <f t="shared" si="0"/>
        <v>0</v>
      </c>
      <c r="M6" s="14">
        <f t="shared" si="1"/>
        <v>0</v>
      </c>
      <c r="N6" s="15">
        <f>M6/Summary!$G$5</f>
        <v>0</v>
      </c>
    </row>
    <row r="7" spans="1:14" ht="12.75">
      <c r="A7" s="2" t="s">
        <v>77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>
        <f t="shared" si="0"/>
        <v>0</v>
      </c>
      <c r="M7" s="14">
        <f t="shared" si="1"/>
        <v>0</v>
      </c>
      <c r="N7" s="15">
        <f>M7/Summary!$G$5</f>
        <v>0</v>
      </c>
    </row>
    <row r="8" spans="1:14" ht="12.75">
      <c r="A8" s="2" t="s">
        <v>78</v>
      </c>
      <c r="B8" s="17"/>
      <c r="C8" s="17"/>
      <c r="D8" s="17"/>
      <c r="E8" s="17"/>
      <c r="F8" s="17">
        <f>F31</f>
        <v>2000000</v>
      </c>
      <c r="G8" s="17">
        <f>G31</f>
        <v>2000000</v>
      </c>
      <c r="H8" s="17">
        <f>H31</f>
        <v>1400000</v>
      </c>
      <c r="I8" s="17"/>
      <c r="J8" s="17">
        <v>2000000</v>
      </c>
      <c r="K8" s="17"/>
      <c r="L8" s="17">
        <f t="shared" si="0"/>
        <v>9800000</v>
      </c>
      <c r="M8" s="14">
        <f t="shared" si="1"/>
        <v>17200000</v>
      </c>
      <c r="N8" s="15">
        <f>M8/Summary!$G$5</f>
        <v>0.6142857142857143</v>
      </c>
    </row>
    <row r="9" spans="1:14" ht="12.75">
      <c r="A9" s="2" t="s">
        <v>79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>
        <f t="shared" si="0"/>
        <v>0</v>
      </c>
      <c r="M9" s="14">
        <f t="shared" si="1"/>
        <v>0</v>
      </c>
      <c r="N9" s="15">
        <f>M9/Summary!$G$5</f>
        <v>0</v>
      </c>
    </row>
    <row r="10" spans="1:14" ht="12.75">
      <c r="A10" s="10" t="s">
        <v>34</v>
      </c>
      <c r="B10" s="17"/>
      <c r="C10" s="17"/>
      <c r="D10" s="17"/>
      <c r="E10" s="17"/>
      <c r="F10" s="17"/>
      <c r="G10" s="17">
        <v>2000000</v>
      </c>
      <c r="H10" s="17">
        <f>H8</f>
        <v>1400000</v>
      </c>
      <c r="I10" s="17"/>
      <c r="J10" s="17"/>
      <c r="K10" s="17"/>
      <c r="L10" s="17">
        <f t="shared" si="0"/>
        <v>9800000</v>
      </c>
      <c r="M10" s="14">
        <f t="shared" si="1"/>
        <v>13200000</v>
      </c>
      <c r="N10" s="15">
        <f>M10/Summary!$G$5</f>
        <v>0.4714285714285714</v>
      </c>
    </row>
    <row r="11" spans="1:14" ht="12.75">
      <c r="A11" s="10" t="s">
        <v>35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si="0"/>
        <v>0</v>
      </c>
      <c r="M11" s="14">
        <f t="shared" si="1"/>
        <v>0</v>
      </c>
      <c r="N11" s="15">
        <f>M11/Summary!$G$5</f>
        <v>0</v>
      </c>
    </row>
    <row r="12" spans="1:14" ht="12.75">
      <c r="A12" s="43" t="s">
        <v>29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0"/>
        <v>0</v>
      </c>
      <c r="M12" s="14">
        <f t="shared" si="1"/>
        <v>0</v>
      </c>
      <c r="N12" s="15">
        <f>M12/Summary!$G$5</f>
        <v>0</v>
      </c>
    </row>
    <row r="13" spans="1:14" ht="12.75">
      <c r="A13" s="42" t="s">
        <v>9</v>
      </c>
      <c r="B13" s="17"/>
      <c r="C13" s="17">
        <v>2000000</v>
      </c>
      <c r="D13" s="17"/>
      <c r="E13" s="17">
        <v>1000000</v>
      </c>
      <c r="F13" s="17"/>
      <c r="G13" s="17">
        <v>2000000</v>
      </c>
      <c r="H13" s="17">
        <v>900000</v>
      </c>
      <c r="I13" s="17"/>
      <c r="J13" s="17">
        <v>2000000</v>
      </c>
      <c r="K13" s="17"/>
      <c r="L13" s="17">
        <f t="shared" si="0"/>
        <v>6300000</v>
      </c>
      <c r="M13" s="14">
        <f t="shared" si="1"/>
        <v>14200000</v>
      </c>
      <c r="N13" s="15">
        <f>M13/Summary!$G$5</f>
        <v>0.5071428571428571</v>
      </c>
    </row>
    <row r="14" spans="1:14" ht="12.75">
      <c r="A14" s="42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0"/>
        <v>0</v>
      </c>
      <c r="M14" s="14">
        <f t="shared" si="1"/>
        <v>0</v>
      </c>
      <c r="N14" s="15">
        <f>M14/Summary!$G$5</f>
        <v>0</v>
      </c>
    </row>
    <row r="15" spans="1:14" ht="12.75">
      <c r="A15" s="42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>
        <f t="shared" si="0"/>
        <v>0</v>
      </c>
      <c r="M15" s="14">
        <f t="shared" si="1"/>
        <v>0</v>
      </c>
      <c r="N15" s="15">
        <f>M15/Summary!$G$5</f>
        <v>0</v>
      </c>
    </row>
    <row r="16" spans="1:14" ht="12.75">
      <c r="A16" s="42" t="s">
        <v>12</v>
      </c>
      <c r="B16" s="17"/>
      <c r="C16" s="17">
        <v>2000000</v>
      </c>
      <c r="D16" s="17"/>
      <c r="E16" s="17">
        <v>1000000</v>
      </c>
      <c r="F16" s="17"/>
      <c r="G16" s="17">
        <v>2000000</v>
      </c>
      <c r="H16" s="17">
        <v>900000</v>
      </c>
      <c r="I16" s="17"/>
      <c r="J16" s="17">
        <v>2000000</v>
      </c>
      <c r="K16" s="17"/>
      <c r="L16" s="17">
        <f t="shared" si="0"/>
        <v>6300000</v>
      </c>
      <c r="M16" s="14">
        <f t="shared" si="1"/>
        <v>14200000</v>
      </c>
      <c r="N16" s="15">
        <f>M16/Summary!$G$5</f>
        <v>0.5071428571428571</v>
      </c>
    </row>
    <row r="17" spans="1:14" ht="12.75">
      <c r="A17" s="42" t="s">
        <v>17</v>
      </c>
      <c r="B17" s="17"/>
      <c r="C17" s="17"/>
      <c r="D17" s="17"/>
      <c r="E17" s="17"/>
      <c r="F17" s="17"/>
      <c r="G17" s="17"/>
      <c r="H17" s="17"/>
      <c r="I17" s="17">
        <v>2000000</v>
      </c>
      <c r="J17" s="17"/>
      <c r="K17" s="17"/>
      <c r="L17" s="17">
        <f t="shared" si="0"/>
        <v>0</v>
      </c>
      <c r="M17" s="14">
        <f t="shared" si="1"/>
        <v>2000000</v>
      </c>
      <c r="N17" s="15">
        <f>M17/Summary!$G$5</f>
        <v>0.07142857142857142</v>
      </c>
    </row>
    <row r="18" spans="1:14" ht="12.75">
      <c r="A18" s="42" t="s">
        <v>18</v>
      </c>
      <c r="B18" s="17"/>
      <c r="C18" s="17">
        <v>2000000</v>
      </c>
      <c r="D18" s="17"/>
      <c r="E18" s="17"/>
      <c r="F18" s="17"/>
      <c r="G18" s="17"/>
      <c r="H18" s="17"/>
      <c r="I18" s="17"/>
      <c r="J18" s="17"/>
      <c r="K18" s="17"/>
      <c r="L18" s="17">
        <f t="shared" si="0"/>
        <v>0</v>
      </c>
      <c r="M18" s="14">
        <f t="shared" si="1"/>
        <v>2000000</v>
      </c>
      <c r="N18" s="15">
        <f>M18/Summary!$G$5</f>
        <v>0.07142857142857142</v>
      </c>
    </row>
    <row r="19" spans="1:14" ht="12.75">
      <c r="A19" s="42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0"/>
        <v>0</v>
      </c>
      <c r="M19" s="14">
        <f t="shared" si="1"/>
        <v>0</v>
      </c>
      <c r="N19" s="15">
        <f>M19/Summary!$G$5</f>
        <v>0</v>
      </c>
    </row>
    <row r="20" spans="1:14" ht="12.75">
      <c r="A20" s="42" t="s">
        <v>20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0"/>
        <v>0</v>
      </c>
      <c r="M20" s="14">
        <f t="shared" si="1"/>
        <v>0</v>
      </c>
      <c r="N20" s="15">
        <f>M20/Summary!$G$5</f>
        <v>0</v>
      </c>
    </row>
    <row r="21" spans="1:14" ht="12.75">
      <c r="A21" s="42" t="s">
        <v>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>
        <f t="shared" si="0"/>
        <v>0</v>
      </c>
      <c r="M21" s="14">
        <f t="shared" si="1"/>
        <v>0</v>
      </c>
      <c r="N21" s="15">
        <f>M21/Summary!$G$5</f>
        <v>0</v>
      </c>
    </row>
    <row r="22" spans="1:14" ht="12.75">
      <c r="A22" s="42" t="s">
        <v>6</v>
      </c>
      <c r="B22" s="17"/>
      <c r="C22" s="17"/>
      <c r="D22" s="17"/>
      <c r="E22" s="17">
        <v>1000000</v>
      </c>
      <c r="F22" s="17">
        <v>2000000</v>
      </c>
      <c r="G22" s="17">
        <v>2000000</v>
      </c>
      <c r="H22" s="17">
        <v>2000000</v>
      </c>
      <c r="I22" s="17">
        <v>2000000</v>
      </c>
      <c r="J22" s="17"/>
      <c r="K22" s="17"/>
      <c r="L22" s="17">
        <v>19000000</v>
      </c>
      <c r="M22" s="14">
        <f t="shared" si="1"/>
        <v>28000000</v>
      </c>
      <c r="N22" s="15">
        <f>M22/Summary!$G$5</f>
        <v>1</v>
      </c>
    </row>
    <row r="23" spans="1:14" ht="12.75">
      <c r="A23" s="42" t="s">
        <v>7</v>
      </c>
      <c r="B23" s="17">
        <v>2000000</v>
      </c>
      <c r="C23" s="17">
        <v>2000000</v>
      </c>
      <c r="D23" s="17">
        <v>2000000</v>
      </c>
      <c r="E23" s="17">
        <v>2000000</v>
      </c>
      <c r="F23" s="17">
        <v>2000000</v>
      </c>
      <c r="G23" s="17">
        <v>2000000</v>
      </c>
      <c r="H23" s="17">
        <v>2000000</v>
      </c>
      <c r="I23" s="17"/>
      <c r="J23" s="17"/>
      <c r="K23" s="17"/>
      <c r="L23" s="17">
        <f t="shared" si="0"/>
        <v>14000000</v>
      </c>
      <c r="M23" s="14">
        <f t="shared" si="1"/>
        <v>28000000</v>
      </c>
      <c r="N23" s="15">
        <f>M23/Summary!$G$5</f>
        <v>1</v>
      </c>
    </row>
    <row r="24" spans="1:14" ht="12.75">
      <c r="A24" s="42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>
        <f t="shared" si="0"/>
        <v>0</v>
      </c>
      <c r="M24" s="14">
        <f t="shared" si="1"/>
        <v>0</v>
      </c>
      <c r="N24" s="15">
        <f>M24/Summary!$G$5</f>
        <v>0</v>
      </c>
    </row>
    <row r="25" spans="1:14" ht="12.75">
      <c r="A25" s="21" t="s">
        <v>38</v>
      </c>
      <c r="B25" s="22">
        <f aca="true" t="shared" si="2" ref="B25:K25">B22-B21-B13-B17+B14+B18-B2+B3</f>
        <v>0</v>
      </c>
      <c r="C25" s="22">
        <f t="shared" si="2"/>
        <v>0</v>
      </c>
      <c r="D25" s="22">
        <f t="shared" si="2"/>
        <v>0</v>
      </c>
      <c r="E25" s="22">
        <f t="shared" si="2"/>
        <v>0</v>
      </c>
      <c r="F25" s="22">
        <f>F22-F21-F13-F17+F14+F18-F2+F3</f>
        <v>0</v>
      </c>
      <c r="G25" s="22">
        <f>G22-G21-G13-G17+G14+G18-G2+G3</f>
        <v>0</v>
      </c>
      <c r="H25" s="22">
        <f>H22-H21-H13-H17+H14+H18-H2+H3</f>
        <v>500000</v>
      </c>
      <c r="I25" s="22">
        <f>I22-I21-I13-I17+I14+I18-I2+I3</f>
        <v>0</v>
      </c>
      <c r="J25" s="22">
        <f t="shared" si="2"/>
        <v>0</v>
      </c>
      <c r="K25" s="22">
        <f t="shared" si="2"/>
        <v>0</v>
      </c>
      <c r="L25" s="22">
        <f>L22-L21-L13-L17+L14+L18-L2+L3</f>
        <v>5500000</v>
      </c>
      <c r="M25" s="14">
        <f t="shared" si="1"/>
        <v>6000000</v>
      </c>
      <c r="N25" s="15">
        <f>M25/Summary!$G$5</f>
        <v>0.21428571428571427</v>
      </c>
    </row>
    <row r="26" spans="1:14" ht="12.75">
      <c r="A26" s="21" t="s">
        <v>39</v>
      </c>
      <c r="B26" s="22">
        <f aca="true" t="shared" si="3" ref="B26:K26">B24-B23-B15-B19+B16+B20-B4+B5</f>
        <v>-2000000</v>
      </c>
      <c r="C26" s="22">
        <f t="shared" si="3"/>
        <v>0</v>
      </c>
      <c r="D26" s="22">
        <f t="shared" si="3"/>
        <v>0</v>
      </c>
      <c r="E26" s="22">
        <f t="shared" si="3"/>
        <v>0</v>
      </c>
      <c r="F26" s="22">
        <f>F24-F23-F15-F19+F16+F20-F4+F5</f>
        <v>0</v>
      </c>
      <c r="G26" s="22">
        <f>G24-G23-G15-G19+G16+G20-G4+G5</f>
        <v>0</v>
      </c>
      <c r="H26" s="22">
        <f>H24-H23-H15-H19+H16+H20-H4+H5</f>
        <v>-500000</v>
      </c>
      <c r="I26" s="22">
        <f>I24-I23-I15-I19+I16+I20-I4+I5</f>
        <v>0</v>
      </c>
      <c r="J26" s="22">
        <f t="shared" si="3"/>
        <v>0</v>
      </c>
      <c r="K26" s="22">
        <f t="shared" si="3"/>
        <v>0</v>
      </c>
      <c r="L26" s="22">
        <f>L24-L23-L15-L19+L16+L20-L4+L5</f>
        <v>-3500000</v>
      </c>
      <c r="M26" s="14">
        <f t="shared" si="1"/>
        <v>-6000000</v>
      </c>
      <c r="N26" s="15">
        <f>M26/Summary!$G$5</f>
        <v>-0.21428571428571427</v>
      </c>
    </row>
    <row r="27" spans="1:14" ht="12.75">
      <c r="A27" s="44" t="s">
        <v>51</v>
      </c>
      <c r="B27" s="17"/>
      <c r="C27" s="17"/>
      <c r="D27" s="17"/>
      <c r="E27" s="17"/>
      <c r="F27" s="17"/>
      <c r="G27" s="17"/>
      <c r="H27" s="17"/>
      <c r="I27" s="17"/>
      <c r="J27" s="17"/>
      <c r="K27" s="17">
        <v>2000000</v>
      </c>
      <c r="L27" s="17">
        <f t="shared" si="0"/>
        <v>0</v>
      </c>
      <c r="M27" s="14">
        <f t="shared" si="1"/>
        <v>2000000</v>
      </c>
      <c r="N27" s="15">
        <f>M27/Summary!$G$5</f>
        <v>0.07142857142857142</v>
      </c>
    </row>
    <row r="28" spans="1:14" ht="12.75">
      <c r="A28" s="44" t="s">
        <v>52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f t="shared" si="0"/>
        <v>0</v>
      </c>
      <c r="M28" s="14">
        <f t="shared" si="1"/>
        <v>0</v>
      </c>
      <c r="N28" s="15">
        <f>M28/Summary!$G$5</f>
        <v>0</v>
      </c>
    </row>
    <row r="29" spans="1:14" ht="12.75">
      <c r="A29" s="45" t="s">
        <v>53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>
        <f t="shared" si="0"/>
        <v>0</v>
      </c>
      <c r="M29" s="14">
        <f t="shared" si="1"/>
        <v>0</v>
      </c>
      <c r="N29" s="15">
        <f>M29/Summary!$G$5</f>
        <v>0</v>
      </c>
    </row>
    <row r="30" spans="1:14" ht="12.75">
      <c r="A30" s="45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f t="shared" si="0"/>
        <v>0</v>
      </c>
      <c r="M30" s="14">
        <f t="shared" si="1"/>
        <v>0</v>
      </c>
      <c r="N30" s="15">
        <f>M30/Summary!$G$5</f>
        <v>0</v>
      </c>
    </row>
    <row r="31" spans="1:14" ht="12.75">
      <c r="A31" s="44" t="s">
        <v>32</v>
      </c>
      <c r="B31" s="17"/>
      <c r="C31" s="17"/>
      <c r="D31" s="17"/>
      <c r="E31" s="17">
        <v>1000000</v>
      </c>
      <c r="F31" s="17">
        <v>2000000</v>
      </c>
      <c r="G31" s="17">
        <v>2000000</v>
      </c>
      <c r="H31" s="17">
        <f>2000000*0.7</f>
        <v>1400000</v>
      </c>
      <c r="I31" s="17"/>
      <c r="J31" s="17">
        <v>2000000</v>
      </c>
      <c r="K31" s="17">
        <v>2000000</v>
      </c>
      <c r="L31" s="17">
        <f t="shared" si="0"/>
        <v>9800000</v>
      </c>
      <c r="M31" s="14">
        <f t="shared" si="1"/>
        <v>20200000</v>
      </c>
      <c r="N31" s="15">
        <f>M31/Summary!$G$5</f>
        <v>0.7214285714285714</v>
      </c>
    </row>
    <row r="32" spans="1:14" ht="12.75">
      <c r="A32" s="44" t="s">
        <v>55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f t="shared" si="0"/>
        <v>0</v>
      </c>
      <c r="M32" s="14">
        <f t="shared" si="1"/>
        <v>0</v>
      </c>
      <c r="N32" s="15">
        <f>M32/Summary!$G$5</f>
        <v>0</v>
      </c>
    </row>
    <row r="33" spans="1:14" ht="12.75">
      <c r="A33" s="44" t="s">
        <v>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f t="shared" si="0"/>
        <v>0</v>
      </c>
      <c r="M33" s="14">
        <f t="shared" si="1"/>
        <v>0</v>
      </c>
      <c r="N33" s="15">
        <f>M33/Summary!$G$5</f>
        <v>0</v>
      </c>
    </row>
    <row r="34" spans="1:14" ht="12.75">
      <c r="A34" s="44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>
        <f t="shared" si="0"/>
        <v>0</v>
      </c>
      <c r="M34" s="14">
        <f t="shared" si="1"/>
        <v>0</v>
      </c>
      <c r="N34" s="15">
        <f>M34/Summary!$G$5</f>
        <v>0</v>
      </c>
    </row>
    <row r="35" spans="1:14" ht="12.75">
      <c r="A35" s="46" t="s">
        <v>13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>
        <f t="shared" si="0"/>
        <v>0</v>
      </c>
      <c r="M35" s="14">
        <f t="shared" si="1"/>
        <v>0</v>
      </c>
      <c r="N35" s="15">
        <f>M35/Summary!$G$5</f>
        <v>0</v>
      </c>
    </row>
    <row r="36" spans="1:14" ht="12.75">
      <c r="A36" s="46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>
        <f t="shared" si="0"/>
        <v>0</v>
      </c>
      <c r="M36" s="14">
        <f t="shared" si="1"/>
        <v>0</v>
      </c>
      <c r="N36" s="15">
        <f>M36/Summary!$G$5</f>
        <v>0</v>
      </c>
    </row>
    <row r="37" spans="1:14" ht="12.75">
      <c r="A37" s="43" t="s">
        <v>28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>
        <f t="shared" si="0"/>
        <v>0</v>
      </c>
      <c r="M37" s="14">
        <f t="shared" si="1"/>
        <v>0</v>
      </c>
      <c r="N37" s="15">
        <f>M37/Summary!$G$5</f>
        <v>0</v>
      </c>
    </row>
    <row r="38" spans="1:14" ht="12.75">
      <c r="A38" s="43" t="s">
        <v>27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>
        <f t="shared" si="0"/>
        <v>0</v>
      </c>
      <c r="M38" s="14">
        <f t="shared" si="1"/>
        <v>0</v>
      </c>
      <c r="N38" s="15">
        <f>M38/Summary!$G$5</f>
        <v>0</v>
      </c>
    </row>
    <row r="39" spans="1:14" ht="12.75">
      <c r="A39" s="46" t="s">
        <v>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>
        <f t="shared" si="0"/>
        <v>0</v>
      </c>
      <c r="M39" s="14">
        <f t="shared" si="1"/>
        <v>0</v>
      </c>
      <c r="N39" s="15">
        <f>M39/Summary!$G$5</f>
        <v>0</v>
      </c>
    </row>
    <row r="40" spans="1:14" ht="12.75">
      <c r="A40" s="46" t="s">
        <v>22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>
        <f t="shared" si="0"/>
        <v>0</v>
      </c>
      <c r="M40" s="14">
        <f t="shared" si="1"/>
        <v>0</v>
      </c>
      <c r="N40" s="15">
        <f>M40/Summary!$G$5</f>
        <v>0</v>
      </c>
    </row>
    <row r="41" spans="1:14" ht="12.75">
      <c r="A41" s="47" t="s">
        <v>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>
        <f t="shared" si="0"/>
        <v>0</v>
      </c>
      <c r="M41" s="14">
        <f t="shared" si="1"/>
        <v>0</v>
      </c>
      <c r="N41" s="15">
        <f>M41/Summary!$G$5</f>
        <v>0</v>
      </c>
    </row>
    <row r="42" spans="1:14" ht="12.75">
      <c r="A42" s="2" t="s">
        <v>95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>
        <f t="shared" si="0"/>
        <v>0</v>
      </c>
      <c r="M42" s="14">
        <f t="shared" si="1"/>
        <v>0</v>
      </c>
      <c r="N42" s="15">
        <f>M42/Summary!$G$5</f>
        <v>0</v>
      </c>
    </row>
    <row r="43" spans="1:14" ht="12.75">
      <c r="A43" s="2" t="s">
        <v>96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>
        <f t="shared" si="0"/>
        <v>0</v>
      </c>
      <c r="M43" s="14">
        <f t="shared" si="1"/>
        <v>0</v>
      </c>
      <c r="N43" s="15">
        <f>M43/Summary!$G$5</f>
        <v>0</v>
      </c>
    </row>
    <row r="44" spans="1:14" ht="12.75">
      <c r="A44" s="2" t="s">
        <v>97</v>
      </c>
      <c r="B44" s="17">
        <f>B10</f>
        <v>0</v>
      </c>
      <c r="C44" s="17">
        <f aca="true" t="shared" si="4" ref="C44:K44">C10</f>
        <v>0</v>
      </c>
      <c r="D44" s="17">
        <f t="shared" si="4"/>
        <v>0</v>
      </c>
      <c r="E44" s="17">
        <f t="shared" si="4"/>
        <v>0</v>
      </c>
      <c r="F44" s="17">
        <f>F10</f>
        <v>0</v>
      </c>
      <c r="G44" s="17">
        <f>G10</f>
        <v>2000000</v>
      </c>
      <c r="H44" s="17">
        <f>H10</f>
        <v>1400000</v>
      </c>
      <c r="I44" s="17">
        <f>I10</f>
        <v>0</v>
      </c>
      <c r="J44" s="17">
        <f t="shared" si="4"/>
        <v>0</v>
      </c>
      <c r="K44" s="17">
        <f t="shared" si="4"/>
        <v>0</v>
      </c>
      <c r="L44" s="17">
        <f t="shared" si="0"/>
        <v>9800000</v>
      </c>
      <c r="M44" s="14">
        <f t="shared" si="1"/>
        <v>13200000</v>
      </c>
      <c r="N44" s="15">
        <f>M44/Summary!$G$5</f>
        <v>0.4714285714285714</v>
      </c>
    </row>
    <row r="45" spans="1:14" ht="12.75">
      <c r="A45" s="2" t="s">
        <v>98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>
        <f t="shared" si="0"/>
        <v>0</v>
      </c>
      <c r="M45" s="14">
        <f t="shared" si="1"/>
        <v>0</v>
      </c>
      <c r="N45" s="15">
        <f>M45/Summary!$G$5</f>
        <v>0</v>
      </c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9"/>
    </row>
  </sheetData>
  <sheetProtection/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58">
      <selection activeCell="A12" sqref="A12:N55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421875" style="0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4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ht="18.75" customHeight="1">
      <c r="A1" s="1" t="str">
        <f>Summary!A1</f>
        <v>Assumptions</v>
      </c>
    </row>
    <row r="2" spans="1:2" ht="12.75">
      <c r="A2" s="2" t="str">
        <f>Summary!A2</f>
        <v>Size of Default</v>
      </c>
      <c r="B2" s="27">
        <f>Summary!B2</f>
        <v>20000000</v>
      </c>
    </row>
    <row r="3" spans="2:4" ht="12.75">
      <c r="B3" t="s">
        <v>15</v>
      </c>
      <c r="C3" t="s">
        <v>16</v>
      </c>
      <c r="D3" s="12" t="s">
        <v>60</v>
      </c>
    </row>
    <row r="4" spans="1:13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  <c r="M4"/>
    </row>
    <row r="5" spans="1:13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  <c r="M5"/>
    </row>
    <row r="6" spans="1:13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  <c r="M6"/>
    </row>
    <row r="7" spans="1:13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  <c r="M7"/>
    </row>
    <row r="8" spans="1:13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  <c r="M8"/>
    </row>
    <row r="9" spans="1:13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  <c r="M9"/>
    </row>
    <row r="10" ht="11.25" customHeight="1"/>
    <row r="11" spans="1:14" ht="127.5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Approximately Seven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7200000</v>
      </c>
      <c r="M12" s="14">
        <f>'QSE Portfolio'!M2</f>
        <v>10400000</v>
      </c>
      <c r="N12" s="15">
        <f>'QSE Portfolio'!N2</f>
        <v>0.37142857142857144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4200000</v>
      </c>
      <c r="M15" s="14">
        <f>'QSE Portfolio'!M5</f>
        <v>9800000</v>
      </c>
      <c r="N15" s="15">
        <f>'QSE Portfolio'!N5</f>
        <v>0.35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9800000</v>
      </c>
      <c r="M18" s="14">
        <f>'QSE Portfolio'!M8</f>
        <v>17200000</v>
      </c>
      <c r="N18" s="15">
        <f>'QSE Portfolio'!N8</f>
        <v>0.6142857142857143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9800000</v>
      </c>
      <c r="M20" s="14">
        <f>'QSE Portfolio'!M10</f>
        <v>13200000</v>
      </c>
      <c r="N20" s="15">
        <f>'QSE Portfolio'!N10</f>
        <v>0.4714285714285714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6300000</v>
      </c>
      <c r="M23" s="14">
        <f>'QSE Portfolio'!M13</f>
        <v>14200000</v>
      </c>
      <c r="N23" s="15">
        <f>'QSE Portfolio'!N13</f>
        <v>0.5071428571428571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6300000</v>
      </c>
      <c r="M26" s="14">
        <f>'QSE Portfolio'!M16</f>
        <v>14200000</v>
      </c>
      <c r="N26" s="15">
        <f>'QSE Portfolio'!N16</f>
        <v>0.5071428571428571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19000000</v>
      </c>
      <c r="M32" s="14">
        <f>'QSE Portfolio'!M22</f>
        <v>28000000</v>
      </c>
      <c r="N32" s="15">
        <f>'QSE Portfolio'!N22</f>
        <v>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14000000</v>
      </c>
      <c r="M33" s="14">
        <f>'QSE Portfolio'!M23</f>
        <v>28000000</v>
      </c>
      <c r="N33" s="15">
        <f>'QSE Portfolio'!N23</f>
        <v>1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5500000</v>
      </c>
      <c r="M35" s="14">
        <f>'QSE Portfolio'!M25</f>
        <v>6000000</v>
      </c>
      <c r="N35" s="15">
        <f>'QSE Portfolio'!N25</f>
        <v>0.21428571428571427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-3500000</v>
      </c>
      <c r="M36" s="14">
        <f>'QSE Portfolio'!M26</f>
        <v>-6000000</v>
      </c>
      <c r="N36" s="15">
        <f>'QSE Portfolio'!N26</f>
        <v>-0.21428571428571427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9800000</v>
      </c>
      <c r="M41" s="14">
        <f>'QSE Portfolio'!M31</f>
        <v>20200000</v>
      </c>
      <c r="N41" s="15">
        <f>'QSE Portfolio'!N31</f>
        <v>0.7214285714285714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9800000</v>
      </c>
      <c r="M54" s="14">
        <f>'QSE Portfolio'!M44</f>
        <v>13200000</v>
      </c>
      <c r="N54" s="15">
        <f>'QSE Portfolio'!N44</f>
        <v>0.4714285714285714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9"/>
    </row>
    <row r="57" spans="1:13" ht="12.75">
      <c r="A57" s="3" t="s">
        <v>68</v>
      </c>
      <c r="B57" s="5">
        <f>MAX(0,B35)*$C$4+MAX(0,B36)*$C$5+B23*MAX(0,$C$5-$C$4)+B25*MAX(0,$C$4-$C$5)+B52*$C$8+B53*$C$9+B54*MAX(0,$C$6)+B55*MAX(0,$C$7)</f>
        <v>0</v>
      </c>
      <c r="C57" s="5">
        <f>MAX(0,C35)*$C$4+C23*MAX(0,$C$4-$C$5)+C25*MAX(0,$C$5-$C$4)+C52*$C$8+C53*$C$9+C54*MAX(0,$C$6)+C55*MAX(0,$C$7)</f>
        <v>0</v>
      </c>
      <c r="D57" s="5">
        <f aca="true" t="shared" si="0" ref="D57:L57">MAX(0,D35)*$C$4+D23*MAX(0,$C$5-$C$4)+D25*MAX(0,$C$4-$C$5)+D52*$C$8+D53*$C$9+D54*MAX(0,$C$6)+D55*MAX(0,$C$7)</f>
        <v>0</v>
      </c>
      <c r="E57" s="5">
        <f t="shared" si="0"/>
        <v>8000000</v>
      </c>
      <c r="F57" s="5">
        <f t="shared" si="0"/>
        <v>0</v>
      </c>
      <c r="G57" s="5">
        <f t="shared" si="0"/>
        <v>32000000</v>
      </c>
      <c r="H57" s="5">
        <f t="shared" si="0"/>
        <v>38400000</v>
      </c>
      <c r="I57" s="5">
        <f t="shared" si="0"/>
        <v>0</v>
      </c>
      <c r="J57" s="5">
        <f t="shared" si="0"/>
        <v>16000000</v>
      </c>
      <c r="K57" s="5">
        <f t="shared" si="0"/>
        <v>0</v>
      </c>
      <c r="L57" s="5">
        <f t="shared" si="0"/>
        <v>348800000</v>
      </c>
      <c r="M57" s="5"/>
    </row>
    <row r="58" spans="1:13" ht="12.75">
      <c r="A58" s="3" t="s">
        <v>67</v>
      </c>
      <c r="B58" s="5">
        <f aca="true" t="shared" si="1" ref="B58:L58">MAX(0,-B35)*$C$4+MAX(0,-B36)*$C$5+B23*MAX(0,$C$4-$C$5)+B25*MAX(0,$C$5-$C$4)+B54*MAX(0,-$C$6)+B55*MAX(0,-$C$7)</f>
        <v>96000000</v>
      </c>
      <c r="C58" s="5">
        <f>MAX(0,-C35)*$C$4+MAX(0,-C36)*$C$5+C23*MAX(0,$C$5-$C$4)+C25*MAX(0,$C$5-$C$4)+C54*MAX(0,-$C$6)+C55*MAX(0,-$C$7)</f>
        <v>16000000</v>
      </c>
      <c r="D58" s="5">
        <f t="shared" si="1"/>
        <v>0</v>
      </c>
      <c r="E58" s="5">
        <f t="shared" si="1"/>
        <v>0</v>
      </c>
      <c r="F58" s="5">
        <f>MAX(0,-F35)*$C$4+MAX(0,-F36)*$C$5+F23*MAX(0,$C$4-$C$5)+F25*MAX(0,$C$5-$C$4)+F54*MAX(0,-$C$6)+F55*MAX(0,-$C$7)</f>
        <v>0</v>
      </c>
      <c r="G58" s="5">
        <f>MAX(0,-G35)*$C$4+MAX(0,-G36)*$C$5+G23*MAX(0,$C$4-$C$5)+G25*MAX(0,$C$5-$C$4)+G54*MAX(0,-$C$6)+G55*MAX(0,-$C$7)</f>
        <v>0</v>
      </c>
      <c r="H58" s="5">
        <f>MAX(0,-H35)*$C$4+MAX(0,-H36)*$C$5+H23*MAX(0,$C$4-$C$5)+H25*MAX(0,$C$5-$C$4)+H54*MAX(0,-$C$6)+H55*MAX(0,-$C$7)</f>
        <v>24000000</v>
      </c>
      <c r="I58" s="5">
        <f>MAX(0,-I35)*$C$4+MAX(0,-I36)*$C$5+I23*MAX(0,$C$4-$C$5)+I25*MAX(0,$C$5-$C$4)+I54*MAX(0,-$C$6)+I55*MAX(0,-$C$7)</f>
        <v>0</v>
      </c>
      <c r="J58" s="5">
        <f>MAX(0,-J35)*$C$4+MAX(0,-J36)*$C$5+J23*MAX(0,$C$4-$C$5)+J25*MAX(0,$C$5-$C$4)+J54*MAX(0,-$C$6)+J55*MAX(0,-$C$7)</f>
        <v>0</v>
      </c>
      <c r="K58" s="5">
        <f t="shared" si="1"/>
        <v>0</v>
      </c>
      <c r="L58" s="5">
        <f t="shared" si="1"/>
        <v>168000000</v>
      </c>
      <c r="M58" s="5"/>
    </row>
    <row r="59" spans="1:13" ht="12.75">
      <c r="A59" s="3" t="s">
        <v>65</v>
      </c>
      <c r="B59" s="5">
        <f aca="true" t="shared" si="2" ref="B59:L59">B57+B58</f>
        <v>96000000</v>
      </c>
      <c r="C59" s="5">
        <f t="shared" si="2"/>
        <v>16000000</v>
      </c>
      <c r="D59" s="5">
        <f t="shared" si="2"/>
        <v>0</v>
      </c>
      <c r="E59" s="5">
        <f t="shared" si="2"/>
        <v>8000000</v>
      </c>
      <c r="F59" s="5">
        <f>F57+F58</f>
        <v>0</v>
      </c>
      <c r="G59" s="5">
        <f>G57+G58</f>
        <v>32000000</v>
      </c>
      <c r="H59" s="5">
        <f>H57+H58</f>
        <v>62400000</v>
      </c>
      <c r="I59" s="5">
        <f>I57+I58</f>
        <v>0</v>
      </c>
      <c r="J59" s="5">
        <f>J57+J58</f>
        <v>16000000</v>
      </c>
      <c r="K59" s="5">
        <f t="shared" si="2"/>
        <v>0</v>
      </c>
      <c r="L59" s="5">
        <f t="shared" si="2"/>
        <v>516800000</v>
      </c>
      <c r="M59" s="5">
        <f>SUM(B59:L59)</f>
        <v>747200000</v>
      </c>
    </row>
    <row r="60" spans="1:13" ht="12.75">
      <c r="A60" s="3" t="s">
        <v>69</v>
      </c>
      <c r="B60" s="5">
        <f aca="true" t="shared" si="3" ref="B60:L60">B12*$B$4+B14*$B$5+B16*$B$8+B17*$B$9+B18*MAX(0,$B$6)+B19*MAX(0,$B$7)+B20*MAX(0,-$B$6)+B21*MAX(0,-$B$7)</f>
        <v>0</v>
      </c>
      <c r="C60" s="5">
        <f t="shared" si="3"/>
        <v>0</v>
      </c>
      <c r="D60" s="5">
        <f t="shared" si="3"/>
        <v>0</v>
      </c>
      <c r="E60" s="5">
        <f t="shared" si="3"/>
        <v>0</v>
      </c>
      <c r="F60" s="5">
        <f>F12*$B$4+F14*$B$5+F16*$B$8+F17*$B$9+F18*MAX(0,$B$6)+F19*MAX(0,$B$7)+F20*MAX(0,-$B$6)+F21*MAX(0,-$B$7)</f>
        <v>100000000</v>
      </c>
      <c r="G60" s="5">
        <f>G12*$B$4+G14*$B$5+G16*$B$8+G17*$B$9+G18*MAX(0,$B$6)+G19*MAX(0,$B$7)+G20*MAX(0,-$B$6)+G21*MAX(0,-$B$7)</f>
        <v>10000000</v>
      </c>
      <c r="H60" s="5">
        <f>H12*$B$4+H14*$B$5+H16*$B$8+H17*$B$9+H18*MAX(0,$B$6)+H19*MAX(0,$B$7)+H20*MAX(0,-$B$6)+H21*MAX(0,-$B$7)</f>
        <v>34000000</v>
      </c>
      <c r="I60" s="5">
        <f>I12*$B$4+I14*$B$5+I16*$B$8+I17*$B$9+I18*MAX(0,$B$6)+I19*MAX(0,$B$7)+I20*MAX(0,-$B$6)+I21*MAX(0,-$B$7)</f>
        <v>27000000</v>
      </c>
      <c r="J60" s="5">
        <f>J12*$B$4+J14*$B$5+J16*$B$8+J17*$B$9+J18*MAX(0,$B$6)+J19*MAX(0,$B$7)+J20*MAX(0,-$B$6)+J21*MAX(0,-$B$7)</f>
        <v>110000000</v>
      </c>
      <c r="K60" s="5">
        <f t="shared" si="3"/>
        <v>0</v>
      </c>
      <c r="L60" s="5">
        <f t="shared" si="3"/>
        <v>373000000</v>
      </c>
      <c r="M60" s="5"/>
    </row>
    <row r="61" spans="1:13" ht="12.75">
      <c r="A61" s="3" t="s">
        <v>70</v>
      </c>
      <c r="B61" s="5">
        <f aca="true" t="shared" si="4" ref="B61:L61">B13*$B$4+B15*$B$5+B18*MAX(0,-$B$6)+B19*MAX(0,-$B$7)+B20*MAX(0,$B$6)+B21*MAX(0,$B$7)</f>
        <v>0</v>
      </c>
      <c r="C61" s="5">
        <f t="shared" si="4"/>
        <v>0</v>
      </c>
      <c r="D61" s="5">
        <f t="shared" si="4"/>
        <v>100000000</v>
      </c>
      <c r="E61" s="5">
        <f t="shared" si="4"/>
        <v>50000000</v>
      </c>
      <c r="F61" s="5">
        <f>F13*$B$4+F15*$B$5+F18*MAX(0,-$B$6)+F19*MAX(0,-$B$7)+F20*MAX(0,$B$6)+F21*MAX(0,$B$7)</f>
        <v>100000000</v>
      </c>
      <c r="G61" s="5">
        <f>G13*$B$4+G15*$B$5+G18*MAX(0,-$B$6)+G19*MAX(0,-$B$7)+G20*MAX(0,$B$6)+G21*MAX(0,$B$7)</f>
        <v>10000000</v>
      </c>
      <c r="H61" s="5">
        <f>H13*$B$4+H15*$B$5+H18*MAX(0,-$B$6)+H19*MAX(0,-$B$7)+H20*MAX(0,$B$6)+H21*MAX(0,$B$7)</f>
        <v>37000000</v>
      </c>
      <c r="I61" s="5">
        <f>I13*$B$4+I15*$B$5+I18*MAX(0,-$B$6)+I19*MAX(0,-$B$7)+I20*MAX(0,$B$6)+I21*MAX(0,$B$7)</f>
        <v>27000000</v>
      </c>
      <c r="J61" s="5">
        <f>J13*$B$4+J15*$B$5+J18*MAX(0,-$B$6)+J19*MAX(0,-$B$7)+J20*MAX(0,$B$6)+J21*MAX(0,$B$7)</f>
        <v>90000000</v>
      </c>
      <c r="K61" s="5">
        <f t="shared" si="4"/>
        <v>0</v>
      </c>
      <c r="L61" s="5">
        <f t="shared" si="4"/>
        <v>259000000</v>
      </c>
      <c r="M61" s="5"/>
    </row>
    <row r="62" spans="1:13" ht="12.75">
      <c r="A62" s="3" t="s">
        <v>66</v>
      </c>
      <c r="B62" s="5">
        <f aca="true" t="shared" si="5" ref="B62:L62">B60+B61</f>
        <v>0</v>
      </c>
      <c r="C62" s="5">
        <f t="shared" si="5"/>
        <v>0</v>
      </c>
      <c r="D62" s="5">
        <f t="shared" si="5"/>
        <v>100000000</v>
      </c>
      <c r="E62" s="5">
        <f t="shared" si="5"/>
        <v>50000000</v>
      </c>
      <c r="F62" s="5">
        <f>F60+F61</f>
        <v>200000000</v>
      </c>
      <c r="G62" s="5">
        <f>G60+G61</f>
        <v>20000000</v>
      </c>
      <c r="H62" s="5">
        <f>H60+H61</f>
        <v>71000000</v>
      </c>
      <c r="I62" s="5">
        <f>I60+I61</f>
        <v>54000000</v>
      </c>
      <c r="J62" s="5">
        <f>J60+J61</f>
        <v>200000000</v>
      </c>
      <c r="K62" s="5">
        <f t="shared" si="5"/>
        <v>0</v>
      </c>
      <c r="L62" s="5">
        <f t="shared" si="5"/>
        <v>632000000</v>
      </c>
      <c r="M62" s="5">
        <f>SUM(B62:L62)</f>
        <v>1327000000</v>
      </c>
    </row>
    <row r="63" spans="1:13" ht="12.75">
      <c r="A63" s="3" t="s">
        <v>71</v>
      </c>
      <c r="B63" s="5">
        <f aca="true" t="shared" si="6" ref="B63:L63">B37*MAX(0,$D$6)+B38*MAX(0,$D$7)+B39*$D$8+B40*$D$9+B41*MAX(0,-$D$6)+B42*MAX(0,-$D$7)</f>
        <v>0</v>
      </c>
      <c r="C63" s="5">
        <f t="shared" si="6"/>
        <v>0</v>
      </c>
      <c r="D63" s="5">
        <f t="shared" si="6"/>
        <v>0</v>
      </c>
      <c r="E63" s="5">
        <f t="shared" si="6"/>
        <v>0</v>
      </c>
      <c r="F63" s="5">
        <f>F37*MAX(0,$D$6)+F38*MAX(0,$D$7)+F39*$D$8+F40*$D$9+F41*MAX(0,-$D$6)+F42*MAX(0,-$D$7)</f>
        <v>0</v>
      </c>
      <c r="G63" s="5">
        <f>G37*MAX(0,$D$6)+G38*MAX(0,$D$7)+G39*$D$8+G40*$D$9+G41*MAX(0,-$D$6)+G42*MAX(0,-$D$7)</f>
        <v>0</v>
      </c>
      <c r="H63" s="5">
        <f>H37*MAX(0,$D$6)+H38*MAX(0,$D$7)+H39*$D$8+H40*$D$9+H41*MAX(0,-$D$6)+H42*MAX(0,-$D$7)</f>
        <v>0</v>
      </c>
      <c r="I63" s="5">
        <f>I37*MAX(0,$D$6)+I38*MAX(0,$D$7)+I39*$D$8+I40*$D$9+I41*MAX(0,-$D$6)+I42*MAX(0,-$D$7)</f>
        <v>0</v>
      </c>
      <c r="J63" s="5">
        <f>J37*MAX(0,$D$6)+J38*MAX(0,$D$7)+J39*$D$8+J40*$D$9+J41*MAX(0,-$D$6)+J42*MAX(0,-$D$7)</f>
        <v>0</v>
      </c>
      <c r="K63" s="5">
        <f t="shared" si="6"/>
        <v>12000000</v>
      </c>
      <c r="L63" s="5">
        <f t="shared" si="6"/>
        <v>0</v>
      </c>
      <c r="M63" s="5"/>
    </row>
    <row r="64" spans="1:13" ht="12.75">
      <c r="A64" s="3" t="s">
        <v>72</v>
      </c>
      <c r="B64" s="5">
        <f aca="true" t="shared" si="7" ref="B64:L64">B37*MAX(0,-$D$6)+B38*MAX(0,-$D$7)+B43*$D$8+B44*$D$9+B41*MAX(0,$D$6)+B42*MAX(0,$D$7)</f>
        <v>0</v>
      </c>
      <c r="C64" s="5">
        <f t="shared" si="7"/>
        <v>0</v>
      </c>
      <c r="D64" s="5">
        <f t="shared" si="7"/>
        <v>0</v>
      </c>
      <c r="E64" s="5">
        <f t="shared" si="7"/>
        <v>6000000</v>
      </c>
      <c r="F64" s="5">
        <f>F37*MAX(0,-$D$6)+F38*MAX(0,-$D$7)+F43*$D$8+F44*$D$9+F41*MAX(0,$D$6)+F42*MAX(0,$D$7)</f>
        <v>12000000</v>
      </c>
      <c r="G64" s="5">
        <f>G37*MAX(0,-$D$6)+G38*MAX(0,-$D$7)+G43*$D$8+G44*$D$9+G41*MAX(0,$D$6)+G42*MAX(0,$D$7)</f>
        <v>12000000</v>
      </c>
      <c r="H64" s="5">
        <f>H37*MAX(0,-$D$6)+H38*MAX(0,-$D$7)+H43*$D$8+H44*$D$9+H41*MAX(0,$D$6)+H42*MAX(0,$D$7)</f>
        <v>8400000</v>
      </c>
      <c r="I64" s="5">
        <f>I37*MAX(0,-$D$6)+I38*MAX(0,-$D$7)+I43*$D$8+I44*$D$9+I41*MAX(0,$D$6)+I42*MAX(0,$D$7)</f>
        <v>0</v>
      </c>
      <c r="J64" s="5">
        <f>J37*MAX(0,-$D$6)+J38*MAX(0,-$D$7)+J43*$D$8+J44*$D$9+J41*MAX(0,$D$6)+J42*MAX(0,$D$7)</f>
        <v>12000000</v>
      </c>
      <c r="K64" s="5">
        <f t="shared" si="7"/>
        <v>12000000</v>
      </c>
      <c r="L64" s="5">
        <f t="shared" si="7"/>
        <v>58800000</v>
      </c>
      <c r="M64" s="5"/>
    </row>
    <row r="65" spans="1:13" ht="12.75">
      <c r="A65" s="3" t="s">
        <v>73</v>
      </c>
      <c r="B65" s="5">
        <f aca="true" t="shared" si="8" ref="B65:L65">B63+B64</f>
        <v>0</v>
      </c>
      <c r="C65" s="5">
        <f t="shared" si="8"/>
        <v>0</v>
      </c>
      <c r="D65" s="5">
        <f t="shared" si="8"/>
        <v>0</v>
      </c>
      <c r="E65" s="5">
        <f t="shared" si="8"/>
        <v>6000000</v>
      </c>
      <c r="F65" s="5">
        <f>F63+F64</f>
        <v>12000000</v>
      </c>
      <c r="G65" s="5">
        <f>G63+G64</f>
        <v>12000000</v>
      </c>
      <c r="H65" s="5">
        <f>H63+H64</f>
        <v>8400000</v>
      </c>
      <c r="I65" s="5">
        <f>I63+I64</f>
        <v>0</v>
      </c>
      <c r="J65" s="5">
        <f>J63+J64</f>
        <v>12000000</v>
      </c>
      <c r="K65" s="5">
        <f t="shared" si="8"/>
        <v>24000000</v>
      </c>
      <c r="L65" s="5">
        <f t="shared" si="8"/>
        <v>58800000</v>
      </c>
      <c r="M65" s="5">
        <f>SUM(B65:L65)</f>
        <v>133200000</v>
      </c>
    </row>
    <row r="66" ht="12.75">
      <c r="M66"/>
    </row>
    <row r="67" spans="1:13" ht="12.75">
      <c r="A67" s="3" t="s">
        <v>74</v>
      </c>
      <c r="B67" s="5">
        <f aca="true" t="shared" si="9" ref="B67:L67">B59+B62+B65</f>
        <v>96000000</v>
      </c>
      <c r="C67" s="5">
        <f t="shared" si="9"/>
        <v>16000000</v>
      </c>
      <c r="D67" s="5">
        <f t="shared" si="9"/>
        <v>100000000</v>
      </c>
      <c r="E67" s="5">
        <f t="shared" si="9"/>
        <v>64000000</v>
      </c>
      <c r="F67" s="5">
        <f>F59+F62+F65</f>
        <v>212000000</v>
      </c>
      <c r="G67" s="5">
        <f>G59+G62+G65</f>
        <v>64000000</v>
      </c>
      <c r="H67" s="5">
        <f>H59+H62+H65</f>
        <v>141800000</v>
      </c>
      <c r="I67" s="5">
        <f>I59+I62+I65</f>
        <v>54000000</v>
      </c>
      <c r="J67" s="5">
        <f>J59+J62+J65</f>
        <v>228000000</v>
      </c>
      <c r="K67" s="5">
        <f t="shared" si="9"/>
        <v>24000000</v>
      </c>
      <c r="L67" s="5">
        <f t="shared" si="9"/>
        <v>1207600000</v>
      </c>
      <c r="M67" s="5">
        <f>M59+M62+M65</f>
        <v>2207400000</v>
      </c>
    </row>
    <row r="68" spans="1:13" ht="12.75">
      <c r="A68" s="3" t="s">
        <v>4</v>
      </c>
      <c r="B68" s="11">
        <f aca="true" t="shared" si="10" ref="B68:L68">B67/$M$67</f>
        <v>0.04349007882576787</v>
      </c>
      <c r="C68" s="11">
        <f t="shared" si="10"/>
        <v>0.007248346470961312</v>
      </c>
      <c r="D68" s="11">
        <f t="shared" si="10"/>
        <v>0.0453021654435082</v>
      </c>
      <c r="E68" s="11">
        <f t="shared" si="10"/>
        <v>0.028993385883845247</v>
      </c>
      <c r="F68" s="11">
        <f>F67/$M$67</f>
        <v>0.09604059074023738</v>
      </c>
      <c r="G68" s="11">
        <f>G67/$M$67</f>
        <v>0.028993385883845247</v>
      </c>
      <c r="H68" s="11">
        <f>H67/$M$67</f>
        <v>0.06423847059889462</v>
      </c>
      <c r="I68" s="11">
        <f>I67/$M$67</f>
        <v>0.02446316933949443</v>
      </c>
      <c r="J68" s="11">
        <f>J67/$M$67</f>
        <v>0.1032889372111987</v>
      </c>
      <c r="K68" s="11">
        <f t="shared" si="10"/>
        <v>0.010872519706441968</v>
      </c>
      <c r="L68" s="11">
        <f t="shared" si="10"/>
        <v>0.547068949895805</v>
      </c>
      <c r="M68" s="11">
        <f>M67/$M$67</f>
        <v>1</v>
      </c>
    </row>
    <row r="69" spans="1:13" ht="12.75">
      <c r="A69" s="3" t="s">
        <v>75</v>
      </c>
      <c r="B69" s="5">
        <f aca="true" t="shared" si="11" ref="B69:M69">$B$2*B68</f>
        <v>869801.5765153575</v>
      </c>
      <c r="C69" s="5">
        <f t="shared" si="11"/>
        <v>144966.92941922625</v>
      </c>
      <c r="D69" s="5">
        <f t="shared" si="11"/>
        <v>906043.308870164</v>
      </c>
      <c r="E69" s="5">
        <f t="shared" si="11"/>
        <v>579867.717676905</v>
      </c>
      <c r="F69" s="5">
        <f>$B$2*F68</f>
        <v>1920811.8148047477</v>
      </c>
      <c r="G69" s="5">
        <f>$B$2*G68</f>
        <v>579867.717676905</v>
      </c>
      <c r="H69" s="5">
        <f>$B$2*H68</f>
        <v>1284769.4119778925</v>
      </c>
      <c r="I69" s="5">
        <f>$B$2*I68</f>
        <v>489263.38678988855</v>
      </c>
      <c r="J69" s="5">
        <f>$B$2*J68</f>
        <v>2065778.744223974</v>
      </c>
      <c r="K69" s="5">
        <f t="shared" si="11"/>
        <v>217450.39412883937</v>
      </c>
      <c r="L69" s="5">
        <f t="shared" si="11"/>
        <v>10941378.9979161</v>
      </c>
      <c r="M69" s="5">
        <f t="shared" si="11"/>
        <v>20000000</v>
      </c>
    </row>
  </sheetData>
  <sheetProtection password="83AF" sheet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57">
      <selection activeCell="A12" sqref="A12:N55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2.140625" style="0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4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ht="18.75" customHeight="1">
      <c r="A1" s="1" t="str">
        <f>Summary!A1</f>
        <v>Assumptions</v>
      </c>
    </row>
    <row r="2" spans="1:2" ht="12.75">
      <c r="A2" s="2" t="str">
        <f>Summary!A2</f>
        <v>Size of Default</v>
      </c>
      <c r="B2" s="27">
        <f>Summary!B2</f>
        <v>20000000</v>
      </c>
    </row>
    <row r="3" spans="2:4" ht="12.75">
      <c r="B3" t="s">
        <v>15</v>
      </c>
      <c r="C3" t="s">
        <v>16</v>
      </c>
      <c r="D3" s="12" t="s">
        <v>60</v>
      </c>
    </row>
    <row r="4" spans="1:13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  <c r="M4"/>
    </row>
    <row r="5" spans="1:13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  <c r="M5"/>
    </row>
    <row r="6" spans="1:13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  <c r="M6"/>
    </row>
    <row r="7" spans="1:13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  <c r="M7"/>
    </row>
    <row r="8" spans="1:13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  <c r="M8"/>
    </row>
    <row r="9" spans="1:13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  <c r="M9"/>
    </row>
    <row r="10" ht="11.25" customHeight="1"/>
    <row r="11" spans="1:14" ht="127.5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Approximately Seven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7200000</v>
      </c>
      <c r="M12" s="14">
        <f>'QSE Portfolio'!M2</f>
        <v>10400000</v>
      </c>
      <c r="N12" s="15">
        <f>'QSE Portfolio'!N2</f>
        <v>0.37142857142857144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4200000</v>
      </c>
      <c r="M15" s="14">
        <f>'QSE Portfolio'!M5</f>
        <v>9800000</v>
      </c>
      <c r="N15" s="15">
        <f>'QSE Portfolio'!N5</f>
        <v>0.35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9800000</v>
      </c>
      <c r="M18" s="14">
        <f>'QSE Portfolio'!M8</f>
        <v>17200000</v>
      </c>
      <c r="N18" s="15">
        <f>'QSE Portfolio'!N8</f>
        <v>0.6142857142857143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9800000</v>
      </c>
      <c r="M20" s="14">
        <f>'QSE Portfolio'!M10</f>
        <v>13200000</v>
      </c>
      <c r="N20" s="15">
        <f>'QSE Portfolio'!N10</f>
        <v>0.4714285714285714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6300000</v>
      </c>
      <c r="M23" s="14">
        <f>'QSE Portfolio'!M13</f>
        <v>14200000</v>
      </c>
      <c r="N23" s="15">
        <f>'QSE Portfolio'!N13</f>
        <v>0.5071428571428571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6300000</v>
      </c>
      <c r="M26" s="14">
        <f>'QSE Portfolio'!M16</f>
        <v>14200000</v>
      </c>
      <c r="N26" s="15">
        <f>'QSE Portfolio'!N16</f>
        <v>0.5071428571428571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19000000</v>
      </c>
      <c r="M32" s="14">
        <f>'QSE Portfolio'!M22</f>
        <v>28000000</v>
      </c>
      <c r="N32" s="15">
        <f>'QSE Portfolio'!N22</f>
        <v>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14000000</v>
      </c>
      <c r="M33" s="14">
        <f>'QSE Portfolio'!M23</f>
        <v>28000000</v>
      </c>
      <c r="N33" s="15">
        <f>'QSE Portfolio'!N23</f>
        <v>1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5500000</v>
      </c>
      <c r="M35" s="14">
        <f>'QSE Portfolio'!M25</f>
        <v>6000000</v>
      </c>
      <c r="N35" s="15">
        <f>'QSE Portfolio'!N25</f>
        <v>0.21428571428571427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-3500000</v>
      </c>
      <c r="M36" s="14">
        <f>'QSE Portfolio'!M26</f>
        <v>-6000000</v>
      </c>
      <c r="N36" s="15">
        <f>'QSE Portfolio'!N26</f>
        <v>-0.21428571428571427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9800000</v>
      </c>
      <c r="M41" s="14">
        <f>'QSE Portfolio'!M31</f>
        <v>20200000</v>
      </c>
      <c r="N41" s="15">
        <f>'QSE Portfolio'!N31</f>
        <v>0.7214285714285714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9800000</v>
      </c>
      <c r="M54" s="14">
        <f>'QSE Portfolio'!M44</f>
        <v>13200000</v>
      </c>
      <c r="N54" s="15">
        <f>'QSE Portfolio'!N44</f>
        <v>0.4714285714285714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9"/>
    </row>
    <row r="57" spans="1:13" ht="12.75">
      <c r="A57" s="3" t="s">
        <v>110</v>
      </c>
      <c r="B57" s="5">
        <f>(B23+B24+B27+B28+B31+B32)*$C$4+(B25+B26+B29+B30+B33+B34)*$C$5+B52*$C$8+B53*$C$9+B54*ABS($C$6)+B55*ABS($C$7)</f>
        <v>96000000</v>
      </c>
      <c r="C57" s="5">
        <f aca="true" t="shared" si="0" ref="C57:L57">(C23+C24+C27+C28+C31+C32)*$C$4+(C25+C26+C29+C30+C33+C34)*$C$5+C52*$C$8+C53*$C$9+C54*ABS($C$6)+C55*ABS($C$7)</f>
        <v>352000000</v>
      </c>
      <c r="D57" s="5">
        <f t="shared" si="0"/>
        <v>96000000</v>
      </c>
      <c r="E57" s="5">
        <f t="shared" si="0"/>
        <v>224000000</v>
      </c>
      <c r="F57" s="5">
        <f t="shared" si="0"/>
        <v>176000000</v>
      </c>
      <c r="G57" s="5">
        <f t="shared" si="0"/>
        <v>368000000</v>
      </c>
      <c r="H57" s="5">
        <f t="shared" si="0"/>
        <v>266400000</v>
      </c>
      <c r="I57" s="5">
        <f t="shared" si="0"/>
        <v>160000000</v>
      </c>
      <c r="J57" s="5">
        <f t="shared" si="0"/>
        <v>176000000</v>
      </c>
      <c r="K57" s="5">
        <f t="shared" si="0"/>
        <v>0</v>
      </c>
      <c r="L57" s="5">
        <f t="shared" si="0"/>
        <v>2064800000</v>
      </c>
      <c r="M57" s="5">
        <f>SUM(B57:L57)</f>
        <v>3979200000</v>
      </c>
    </row>
    <row r="58" spans="1:13" ht="12.75">
      <c r="A58" s="3" t="s">
        <v>69</v>
      </c>
      <c r="B58" s="5">
        <f aca="true" t="shared" si="1" ref="B58:L58">B12*$B$4+B14*$B$5+B16*$B$8+B17*$B$9+B18*MAX(0,$B$6)+B19*MAX(0,$B$7)+B20*MAX(0,-$B$6)+B21*MAX(0,-$B$7)</f>
        <v>0</v>
      </c>
      <c r="C58" s="5">
        <f t="shared" si="1"/>
        <v>0</v>
      </c>
      <c r="D58" s="5">
        <f t="shared" si="1"/>
        <v>0</v>
      </c>
      <c r="E58" s="5">
        <f t="shared" si="1"/>
        <v>0</v>
      </c>
      <c r="F58" s="5">
        <f t="shared" si="1"/>
        <v>100000000</v>
      </c>
      <c r="G58" s="5">
        <f t="shared" si="1"/>
        <v>10000000</v>
      </c>
      <c r="H58" s="5">
        <f t="shared" si="1"/>
        <v>34000000</v>
      </c>
      <c r="I58" s="5">
        <f t="shared" si="1"/>
        <v>27000000</v>
      </c>
      <c r="J58" s="5">
        <f t="shared" si="1"/>
        <v>110000000</v>
      </c>
      <c r="K58" s="5">
        <f t="shared" si="1"/>
        <v>0</v>
      </c>
      <c r="L58" s="5">
        <f t="shared" si="1"/>
        <v>373000000</v>
      </c>
      <c r="M58" s="5"/>
    </row>
    <row r="59" spans="1:13" ht="12.75">
      <c r="A59" s="3" t="s">
        <v>70</v>
      </c>
      <c r="B59" s="5">
        <f aca="true" t="shared" si="2" ref="B59:L59">B13*$B$4+B15*$B$5+B18*MAX(0,-$B$6)+B19*MAX(0,-$B$7)+B20*MAX(0,$B$6)+B21*MAX(0,$B$7)</f>
        <v>0</v>
      </c>
      <c r="C59" s="5">
        <f t="shared" si="2"/>
        <v>0</v>
      </c>
      <c r="D59" s="5">
        <f t="shared" si="2"/>
        <v>100000000</v>
      </c>
      <c r="E59" s="5">
        <f t="shared" si="2"/>
        <v>50000000</v>
      </c>
      <c r="F59" s="5">
        <f t="shared" si="2"/>
        <v>100000000</v>
      </c>
      <c r="G59" s="5">
        <f t="shared" si="2"/>
        <v>10000000</v>
      </c>
      <c r="H59" s="5">
        <f t="shared" si="2"/>
        <v>37000000</v>
      </c>
      <c r="I59" s="5">
        <f t="shared" si="2"/>
        <v>27000000</v>
      </c>
      <c r="J59" s="5">
        <f t="shared" si="2"/>
        <v>90000000</v>
      </c>
      <c r="K59" s="5">
        <f t="shared" si="2"/>
        <v>0</v>
      </c>
      <c r="L59" s="5">
        <f t="shared" si="2"/>
        <v>259000000</v>
      </c>
      <c r="M59" s="5"/>
    </row>
    <row r="60" spans="1:13" ht="12.75">
      <c r="A60" s="3" t="s">
        <v>66</v>
      </c>
      <c r="B60" s="5">
        <f aca="true" t="shared" si="3" ref="B60:L60">B58+B59</f>
        <v>0</v>
      </c>
      <c r="C60" s="5">
        <f t="shared" si="3"/>
        <v>0</v>
      </c>
      <c r="D60" s="5">
        <f t="shared" si="3"/>
        <v>100000000</v>
      </c>
      <c r="E60" s="5">
        <f t="shared" si="3"/>
        <v>50000000</v>
      </c>
      <c r="F60" s="5">
        <f t="shared" si="3"/>
        <v>200000000</v>
      </c>
      <c r="G60" s="5">
        <f t="shared" si="3"/>
        <v>20000000</v>
      </c>
      <c r="H60" s="5">
        <f t="shared" si="3"/>
        <v>71000000</v>
      </c>
      <c r="I60" s="5">
        <f t="shared" si="3"/>
        <v>54000000</v>
      </c>
      <c r="J60" s="5">
        <f t="shared" si="3"/>
        <v>200000000</v>
      </c>
      <c r="K60" s="5">
        <f t="shared" si="3"/>
        <v>0</v>
      </c>
      <c r="L60" s="5">
        <f t="shared" si="3"/>
        <v>632000000</v>
      </c>
      <c r="M60" s="5">
        <f>SUM(B60:L60)</f>
        <v>1327000000</v>
      </c>
    </row>
    <row r="61" spans="1:13" ht="12.75">
      <c r="A61" s="3" t="s">
        <v>71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3" t="s">
        <v>72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3" t="s">
        <v>73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ht="12.75">
      <c r="M64"/>
    </row>
    <row r="65" spans="1:13" ht="12.75">
      <c r="A65" s="3" t="s">
        <v>111</v>
      </c>
      <c r="B65" s="5">
        <f>B57+B60</f>
        <v>96000000</v>
      </c>
      <c r="C65" s="5">
        <f aca="true" t="shared" si="4" ref="C65:M65">C57+C60</f>
        <v>352000000</v>
      </c>
      <c r="D65" s="5">
        <f t="shared" si="4"/>
        <v>196000000</v>
      </c>
      <c r="E65" s="5">
        <f t="shared" si="4"/>
        <v>274000000</v>
      </c>
      <c r="F65" s="5">
        <f t="shared" si="4"/>
        <v>376000000</v>
      </c>
      <c r="G65" s="5">
        <f t="shared" si="4"/>
        <v>388000000</v>
      </c>
      <c r="H65" s="5">
        <f t="shared" si="4"/>
        <v>337400000</v>
      </c>
      <c r="I65" s="5">
        <f t="shared" si="4"/>
        <v>214000000</v>
      </c>
      <c r="J65" s="5">
        <f t="shared" si="4"/>
        <v>376000000</v>
      </c>
      <c r="K65" s="5">
        <f t="shared" si="4"/>
        <v>0</v>
      </c>
      <c r="L65" s="5">
        <f t="shared" si="4"/>
        <v>2696800000</v>
      </c>
      <c r="M65" s="5">
        <f t="shared" si="4"/>
        <v>5306200000</v>
      </c>
    </row>
    <row r="66" spans="1:13" ht="12.75">
      <c r="A66" s="3" t="s">
        <v>112</v>
      </c>
      <c r="B66" s="29">
        <f aca="true" t="shared" si="5" ref="B66:L66">B65/$M$65</f>
        <v>0.01809204327013682</v>
      </c>
      <c r="C66" s="29">
        <f t="shared" si="5"/>
        <v>0.06633749199050168</v>
      </c>
      <c r="D66" s="29">
        <f t="shared" si="5"/>
        <v>0.036937921676529345</v>
      </c>
      <c r="E66" s="29">
        <f t="shared" si="5"/>
        <v>0.05163770683351551</v>
      </c>
      <c r="F66" s="29">
        <f t="shared" si="5"/>
        <v>0.07086050280803588</v>
      </c>
      <c r="G66" s="29">
        <f t="shared" si="5"/>
        <v>0.07312200821680298</v>
      </c>
      <c r="H66" s="29">
        <f t="shared" si="5"/>
        <v>0.06358599374316837</v>
      </c>
      <c r="I66" s="29">
        <f t="shared" si="5"/>
        <v>0.040330179789679996</v>
      </c>
      <c r="J66" s="29">
        <f t="shared" si="5"/>
        <v>0.07086050280803588</v>
      </c>
      <c r="K66" s="29">
        <f t="shared" si="5"/>
        <v>0</v>
      </c>
      <c r="L66" s="29">
        <f t="shared" si="5"/>
        <v>0.5082356488635935</v>
      </c>
      <c r="M66" s="29">
        <f>M65/$M$65</f>
        <v>1</v>
      </c>
    </row>
    <row r="67" spans="1:13" ht="12.75">
      <c r="A67" s="3" t="s">
        <v>113</v>
      </c>
      <c r="B67" s="30">
        <f aca="true" t="shared" si="6" ref="B67:M67">$B$2*B66</f>
        <v>361840.8654027364</v>
      </c>
      <c r="C67" s="30">
        <f t="shared" si="6"/>
        <v>1326749.8398100336</v>
      </c>
      <c r="D67" s="30">
        <f t="shared" si="6"/>
        <v>738758.4335305869</v>
      </c>
      <c r="E67" s="30">
        <f t="shared" si="6"/>
        <v>1032754.1366703103</v>
      </c>
      <c r="F67" s="30">
        <f t="shared" si="6"/>
        <v>1417210.0561607175</v>
      </c>
      <c r="G67" s="30">
        <f t="shared" si="6"/>
        <v>1462440.1643360597</v>
      </c>
      <c r="H67" s="30">
        <f t="shared" si="6"/>
        <v>1271719.8748633673</v>
      </c>
      <c r="I67" s="30">
        <f t="shared" si="6"/>
        <v>806603.5957936</v>
      </c>
      <c r="J67" s="30">
        <f t="shared" si="6"/>
        <v>1417210.0561607175</v>
      </c>
      <c r="K67" s="30">
        <f t="shared" si="6"/>
        <v>0</v>
      </c>
      <c r="L67" s="30">
        <f t="shared" si="6"/>
        <v>10164712.97727187</v>
      </c>
      <c r="M67" s="30">
        <f t="shared" si="6"/>
        <v>20000000</v>
      </c>
    </row>
  </sheetData>
  <sheetProtection password="83AF" sheet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57">
      <selection activeCell="A12" sqref="A12:N55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57421875" style="0" customWidth="1"/>
    <col min="4" max="4" width="12.57421875" style="0" customWidth="1"/>
    <col min="5" max="5" width="12.8515625" style="0" customWidth="1"/>
    <col min="6" max="6" width="11.7109375" style="0" customWidth="1"/>
    <col min="7" max="7" width="14.28125" style="0" customWidth="1"/>
    <col min="8" max="8" width="13.8515625" style="16" customWidth="1"/>
    <col min="9" max="9" width="10.8515625" style="0" customWidth="1"/>
    <col min="10" max="10" width="11.8515625" style="0" customWidth="1"/>
    <col min="11" max="11" width="10.28125" style="0" bestFit="1" customWidth="1"/>
    <col min="12" max="12" width="12.57421875" style="0" customWidth="1"/>
    <col min="13" max="13" width="12.28125" style="0" bestFit="1" customWidth="1"/>
  </cols>
  <sheetData>
    <row r="1" spans="1:13" ht="18.75" customHeight="1">
      <c r="A1" s="1" t="str">
        <f>Summary!A1</f>
        <v>Assumptions</v>
      </c>
      <c r="H1"/>
      <c r="M1" s="4"/>
    </row>
    <row r="2" spans="1:13" ht="12.75">
      <c r="A2" s="2" t="str">
        <f>Summary!A2</f>
        <v>Size of Default</v>
      </c>
      <c r="B2" s="27">
        <f>Summary!B2</f>
        <v>20000000</v>
      </c>
      <c r="H2"/>
      <c r="M2" s="4"/>
    </row>
    <row r="3" spans="2:13" ht="12.75">
      <c r="B3" t="s">
        <v>15</v>
      </c>
      <c r="C3" t="s">
        <v>16</v>
      </c>
      <c r="D3" s="12" t="s">
        <v>60</v>
      </c>
      <c r="H3"/>
      <c r="M3" s="4"/>
    </row>
    <row r="4" spans="1:8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</row>
    <row r="5" spans="1:8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</row>
    <row r="6" spans="1:8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</row>
    <row r="7" spans="1:8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</row>
    <row r="8" spans="1:8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</row>
    <row r="9" spans="1:8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</row>
    <row r="10" spans="8:13" ht="11.25" customHeight="1">
      <c r="H10"/>
      <c r="M10" s="4"/>
    </row>
    <row r="11" spans="1:14" ht="105.75" customHeight="1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Approximately Seven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7200000</v>
      </c>
      <c r="M12" s="14">
        <f>'QSE Portfolio'!M2</f>
        <v>10400000</v>
      </c>
      <c r="N12" s="15">
        <f>'QSE Portfolio'!N2</f>
        <v>0.37142857142857144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4200000</v>
      </c>
      <c r="M15" s="14">
        <f>'QSE Portfolio'!M5</f>
        <v>9800000</v>
      </c>
      <c r="N15" s="15">
        <f>'QSE Portfolio'!N5</f>
        <v>0.35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9800000</v>
      </c>
      <c r="M18" s="14">
        <f>'QSE Portfolio'!M8</f>
        <v>17200000</v>
      </c>
      <c r="N18" s="15">
        <f>'QSE Portfolio'!N8</f>
        <v>0.6142857142857143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9800000</v>
      </c>
      <c r="M20" s="14">
        <f>'QSE Portfolio'!M10</f>
        <v>13200000</v>
      </c>
      <c r="N20" s="15">
        <f>'QSE Portfolio'!N10</f>
        <v>0.4714285714285714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6300000</v>
      </c>
      <c r="M23" s="14">
        <f>'QSE Portfolio'!M13</f>
        <v>14200000</v>
      </c>
      <c r="N23" s="15">
        <f>'QSE Portfolio'!N13</f>
        <v>0.5071428571428571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6300000</v>
      </c>
      <c r="M26" s="14">
        <f>'QSE Portfolio'!M16</f>
        <v>14200000</v>
      </c>
      <c r="N26" s="15">
        <f>'QSE Portfolio'!N16</f>
        <v>0.5071428571428571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19000000</v>
      </c>
      <c r="M32" s="14">
        <f>'QSE Portfolio'!M22</f>
        <v>28000000</v>
      </c>
      <c r="N32" s="15">
        <f>'QSE Portfolio'!N22</f>
        <v>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14000000</v>
      </c>
      <c r="M33" s="14">
        <f>'QSE Portfolio'!M23</f>
        <v>28000000</v>
      </c>
      <c r="N33" s="15">
        <f>'QSE Portfolio'!N23</f>
        <v>1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5500000</v>
      </c>
      <c r="M35" s="14">
        <f>'QSE Portfolio'!M25</f>
        <v>6000000</v>
      </c>
      <c r="N35" s="15">
        <f>'QSE Portfolio'!N25</f>
        <v>0.21428571428571427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-3500000</v>
      </c>
      <c r="M36" s="14">
        <f>'QSE Portfolio'!M26</f>
        <v>-6000000</v>
      </c>
      <c r="N36" s="15">
        <f>'QSE Portfolio'!N26</f>
        <v>-0.21428571428571427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9800000</v>
      </c>
      <c r="M41" s="14">
        <f>'QSE Portfolio'!M31</f>
        <v>20200000</v>
      </c>
      <c r="N41" s="15">
        <f>'QSE Portfolio'!N31</f>
        <v>0.7214285714285714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9800000</v>
      </c>
      <c r="M54" s="14">
        <f>'QSE Portfolio'!M44</f>
        <v>13200000</v>
      </c>
      <c r="N54" s="15">
        <f>'QSE Portfolio'!N44</f>
        <v>0.4714285714285714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7" ht="12.75">
      <c r="B56" s="16"/>
      <c r="C56" s="16"/>
      <c r="D56" s="16"/>
      <c r="E56" s="16"/>
      <c r="F56" s="16"/>
      <c r="G56" s="9"/>
    </row>
    <row r="57" spans="1:13" ht="12.75">
      <c r="A57" s="3" t="s">
        <v>107</v>
      </c>
      <c r="B57" s="18">
        <f>SUM(B12:B21)+SUM(B23:B34)+SUM(B45:B46)+SUM(B49:B50)+SUM(B52:B55)</f>
        <v>2000000</v>
      </c>
      <c r="C57" s="18">
        <f aca="true" t="shared" si="0" ref="C57:L57">SUM(C12:C21)+SUM(C23:C34)+SUM(C45:C46)+SUM(C49:C50)+SUM(C52:C55)</f>
        <v>8000000</v>
      </c>
      <c r="D57" s="18">
        <f t="shared" si="0"/>
        <v>4000000</v>
      </c>
      <c r="E57" s="18">
        <f t="shared" si="0"/>
        <v>6000000</v>
      </c>
      <c r="F57" s="18">
        <f t="shared" si="0"/>
        <v>10000000</v>
      </c>
      <c r="G57" s="18">
        <f t="shared" si="0"/>
        <v>14000000</v>
      </c>
      <c r="H57" s="18">
        <f t="shared" si="0"/>
        <v>11200000</v>
      </c>
      <c r="I57" s="18">
        <f t="shared" si="0"/>
        <v>5200000</v>
      </c>
      <c r="J57" s="18">
        <f t="shared" si="0"/>
        <v>10000000</v>
      </c>
      <c r="K57" s="18">
        <f t="shared" si="0"/>
        <v>0</v>
      </c>
      <c r="L57" s="18">
        <f t="shared" si="0"/>
        <v>86400000</v>
      </c>
      <c r="M57" s="18">
        <f>SUM(B57:L57)</f>
        <v>156800000</v>
      </c>
    </row>
    <row r="58" spans="1:13" ht="12.75">
      <c r="A58" s="3" t="s">
        <v>108</v>
      </c>
      <c r="B58" s="19">
        <f aca="true" t="shared" si="1" ref="B58:L58">B57/$M$57</f>
        <v>0.012755102040816327</v>
      </c>
      <c r="C58" s="19">
        <f t="shared" si="1"/>
        <v>0.05102040816326531</v>
      </c>
      <c r="D58" s="19">
        <f t="shared" si="1"/>
        <v>0.025510204081632654</v>
      </c>
      <c r="E58" s="19">
        <f t="shared" si="1"/>
        <v>0.03826530612244898</v>
      </c>
      <c r="F58" s="19">
        <f t="shared" si="1"/>
        <v>0.06377551020408163</v>
      </c>
      <c r="G58" s="19">
        <f t="shared" si="1"/>
        <v>0.08928571428571429</v>
      </c>
      <c r="H58" s="19">
        <f t="shared" si="1"/>
        <v>0.07142857142857142</v>
      </c>
      <c r="I58" s="19">
        <f t="shared" si="1"/>
        <v>0.03316326530612245</v>
      </c>
      <c r="J58" s="19">
        <f t="shared" si="1"/>
        <v>0.06377551020408163</v>
      </c>
      <c r="K58" s="19">
        <f t="shared" si="1"/>
        <v>0</v>
      </c>
      <c r="L58" s="19">
        <f t="shared" si="1"/>
        <v>0.5510204081632653</v>
      </c>
      <c r="M58" s="19">
        <f>M57/$M$57</f>
        <v>1</v>
      </c>
    </row>
    <row r="59" spans="1:13" ht="12.75">
      <c r="A59" s="3" t="s">
        <v>109</v>
      </c>
      <c r="B59" s="20">
        <f aca="true" t="shared" si="2" ref="B59:L59">$B$2*B58</f>
        <v>255102.04081632654</v>
      </c>
      <c r="C59" s="20">
        <f t="shared" si="2"/>
        <v>1020408.1632653062</v>
      </c>
      <c r="D59" s="20">
        <f t="shared" si="2"/>
        <v>510204.0816326531</v>
      </c>
      <c r="E59" s="20">
        <f t="shared" si="2"/>
        <v>765306.1224489796</v>
      </c>
      <c r="F59" s="20">
        <f t="shared" si="2"/>
        <v>1275510.2040816327</v>
      </c>
      <c r="G59" s="20">
        <f t="shared" si="2"/>
        <v>1785714.2857142857</v>
      </c>
      <c r="H59" s="20">
        <f t="shared" si="2"/>
        <v>1428571.4285714284</v>
      </c>
      <c r="I59" s="20">
        <f t="shared" si="2"/>
        <v>663265.306122449</v>
      </c>
      <c r="J59" s="20">
        <f t="shared" si="2"/>
        <v>1275510.2040816327</v>
      </c>
      <c r="K59" s="20">
        <f t="shared" si="2"/>
        <v>0</v>
      </c>
      <c r="L59" s="20">
        <f t="shared" si="2"/>
        <v>11020408.163265305</v>
      </c>
      <c r="M59" s="20">
        <f>$B$2*M58</f>
        <v>20000000</v>
      </c>
    </row>
  </sheetData>
  <sheetProtection password="83AF" sheet="1"/>
  <printOptions/>
  <pageMargins left="0.75" right="0.75" top="1" bottom="1" header="0.5" footer="0.5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58">
      <selection activeCell="A12" sqref="A12:N55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57421875" style="0" customWidth="1"/>
    <col min="4" max="4" width="12.57421875" style="0" customWidth="1"/>
    <col min="5" max="5" width="12.8515625" style="0" customWidth="1"/>
    <col min="6" max="6" width="11.7109375" style="0" customWidth="1"/>
    <col min="7" max="7" width="14.28125" style="0" customWidth="1"/>
    <col min="8" max="8" width="13.8515625" style="16" customWidth="1"/>
    <col min="9" max="9" width="10.8515625" style="0" customWidth="1"/>
    <col min="10" max="10" width="11.8515625" style="0" customWidth="1"/>
    <col min="11" max="11" width="10.28125" style="0" bestFit="1" customWidth="1"/>
    <col min="12" max="12" width="12.57421875" style="0" customWidth="1"/>
    <col min="13" max="13" width="12.28125" style="0" bestFit="1" customWidth="1"/>
  </cols>
  <sheetData>
    <row r="1" spans="1:13" ht="18.75" customHeight="1">
      <c r="A1" s="1" t="str">
        <f>Summary!A1</f>
        <v>Assumptions</v>
      </c>
      <c r="H1"/>
      <c r="M1" s="4"/>
    </row>
    <row r="2" spans="1:13" ht="12.75">
      <c r="A2" s="2" t="str">
        <f>Summary!A2</f>
        <v>Size of Default</v>
      </c>
      <c r="B2" s="27">
        <f>Summary!B2</f>
        <v>20000000</v>
      </c>
      <c r="H2"/>
      <c r="M2" s="4"/>
    </row>
    <row r="3" spans="2:13" ht="12.75">
      <c r="B3" t="s">
        <v>15</v>
      </c>
      <c r="C3" t="s">
        <v>16</v>
      </c>
      <c r="D3" s="12" t="s">
        <v>60</v>
      </c>
      <c r="H3"/>
      <c r="M3" s="4"/>
    </row>
    <row r="4" spans="1:8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</row>
    <row r="5" spans="1:8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</row>
    <row r="6" spans="1:8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</row>
    <row r="7" spans="1:8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</row>
    <row r="8" spans="1:8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</row>
    <row r="9" spans="1:8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</row>
    <row r="10" spans="8:13" ht="11.25" customHeight="1">
      <c r="H10"/>
      <c r="M10" s="4"/>
    </row>
    <row r="11" spans="1:14" ht="105.75" customHeight="1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Approximately Seven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7200000</v>
      </c>
      <c r="M12" s="14">
        <f>'QSE Portfolio'!M2</f>
        <v>10400000</v>
      </c>
      <c r="N12" s="15">
        <f>'QSE Portfolio'!N2</f>
        <v>0.37142857142857144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4200000</v>
      </c>
      <c r="M15" s="14">
        <f>'QSE Portfolio'!M5</f>
        <v>9800000</v>
      </c>
      <c r="N15" s="15">
        <f>'QSE Portfolio'!N5</f>
        <v>0.35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9800000</v>
      </c>
      <c r="M18" s="14">
        <f>'QSE Portfolio'!M8</f>
        <v>17200000</v>
      </c>
      <c r="N18" s="15">
        <f>'QSE Portfolio'!N8</f>
        <v>0.6142857142857143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9800000</v>
      </c>
      <c r="M20" s="14">
        <f>'QSE Portfolio'!M10</f>
        <v>13200000</v>
      </c>
      <c r="N20" s="15">
        <f>'QSE Portfolio'!N10</f>
        <v>0.4714285714285714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6300000</v>
      </c>
      <c r="M23" s="14">
        <f>'QSE Portfolio'!M13</f>
        <v>14200000</v>
      </c>
      <c r="N23" s="15">
        <f>'QSE Portfolio'!N13</f>
        <v>0.5071428571428571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6300000</v>
      </c>
      <c r="M26" s="14">
        <f>'QSE Portfolio'!M16</f>
        <v>14200000</v>
      </c>
      <c r="N26" s="15">
        <f>'QSE Portfolio'!N16</f>
        <v>0.5071428571428571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19000000</v>
      </c>
      <c r="M32" s="14">
        <f>'QSE Portfolio'!M22</f>
        <v>28000000</v>
      </c>
      <c r="N32" s="15">
        <f>'QSE Portfolio'!N22</f>
        <v>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14000000</v>
      </c>
      <c r="M33" s="14">
        <f>'QSE Portfolio'!M23</f>
        <v>28000000</v>
      </c>
      <c r="N33" s="15">
        <f>'QSE Portfolio'!N23</f>
        <v>1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5500000</v>
      </c>
      <c r="M35" s="14">
        <f>'QSE Portfolio'!M25</f>
        <v>6000000</v>
      </c>
      <c r="N35" s="15">
        <f>'QSE Portfolio'!N25</f>
        <v>0.21428571428571427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-3500000</v>
      </c>
      <c r="M36" s="14">
        <f>'QSE Portfolio'!M26</f>
        <v>-6000000</v>
      </c>
      <c r="N36" s="15">
        <f>'QSE Portfolio'!N26</f>
        <v>-0.21428571428571427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9800000</v>
      </c>
      <c r="M41" s="14">
        <f>'QSE Portfolio'!M31</f>
        <v>20200000</v>
      </c>
      <c r="N41" s="15">
        <f>'QSE Portfolio'!N31</f>
        <v>0.7214285714285714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9800000</v>
      </c>
      <c r="M54" s="14">
        <f>'QSE Portfolio'!M44</f>
        <v>13200000</v>
      </c>
      <c r="N54" s="15">
        <f>'QSE Portfolio'!N44</f>
        <v>0.4714285714285714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7" ht="12.75">
      <c r="B56" s="16"/>
      <c r="C56" s="16"/>
      <c r="D56" s="16"/>
      <c r="E56" s="16"/>
      <c r="F56" s="16"/>
      <c r="G56" s="9"/>
    </row>
    <row r="57" spans="1:13" ht="12.75">
      <c r="A57" s="3" t="s">
        <v>48</v>
      </c>
      <c r="B57" s="18">
        <f aca="true" t="shared" si="0" ref="B57:G57">B32+B34</f>
        <v>0</v>
      </c>
      <c r="C57" s="18">
        <f t="shared" si="0"/>
        <v>0</v>
      </c>
      <c r="D57" s="18">
        <f t="shared" si="0"/>
        <v>0</v>
      </c>
      <c r="E57" s="18">
        <f t="shared" si="0"/>
        <v>1000000</v>
      </c>
      <c r="F57" s="18">
        <f t="shared" si="0"/>
        <v>2000000</v>
      </c>
      <c r="G57" s="18">
        <f t="shared" si="0"/>
        <v>2000000</v>
      </c>
      <c r="H57" s="18">
        <f>H32+H34</f>
        <v>2000000</v>
      </c>
      <c r="I57" s="18">
        <f>I32+I34</f>
        <v>2000000</v>
      </c>
      <c r="J57" s="18">
        <f>J32+J34</f>
        <v>0</v>
      </c>
      <c r="K57" s="18">
        <f>K32+K34</f>
        <v>0</v>
      </c>
      <c r="L57" s="18">
        <f>L32+L34</f>
        <v>19000000</v>
      </c>
      <c r="M57" s="18"/>
    </row>
    <row r="58" spans="1:13" ht="12.75">
      <c r="A58" s="3" t="s">
        <v>49</v>
      </c>
      <c r="B58" s="18">
        <f aca="true" t="shared" si="1" ref="B58:G58">B31+B33</f>
        <v>2000000</v>
      </c>
      <c r="C58" s="18">
        <f t="shared" si="1"/>
        <v>2000000</v>
      </c>
      <c r="D58" s="18">
        <f t="shared" si="1"/>
        <v>2000000</v>
      </c>
      <c r="E58" s="18">
        <f t="shared" si="1"/>
        <v>2000000</v>
      </c>
      <c r="F58" s="18">
        <f t="shared" si="1"/>
        <v>2000000</v>
      </c>
      <c r="G58" s="18">
        <f t="shared" si="1"/>
        <v>2000000</v>
      </c>
      <c r="H58" s="18">
        <f>H31+H33</f>
        <v>2000000</v>
      </c>
      <c r="I58" s="18">
        <f>I31+I33</f>
        <v>0</v>
      </c>
      <c r="J58" s="18">
        <f>J31+J33</f>
        <v>0</v>
      </c>
      <c r="K58" s="18">
        <f>K31+K33</f>
        <v>0</v>
      </c>
      <c r="L58" s="18">
        <f>L31+L33</f>
        <v>14000000</v>
      </c>
      <c r="M58" s="18"/>
    </row>
    <row r="59" spans="1:13" ht="12.75">
      <c r="A59" s="3" t="s">
        <v>50</v>
      </c>
      <c r="B59" s="18">
        <f aca="true" t="shared" si="2" ref="B59:G59">MAX(B57:B58)</f>
        <v>2000000</v>
      </c>
      <c r="C59" s="18">
        <f t="shared" si="2"/>
        <v>2000000</v>
      </c>
      <c r="D59" s="18">
        <f t="shared" si="2"/>
        <v>2000000</v>
      </c>
      <c r="E59" s="18">
        <f t="shared" si="2"/>
        <v>2000000</v>
      </c>
      <c r="F59" s="18">
        <f t="shared" si="2"/>
        <v>2000000</v>
      </c>
      <c r="G59" s="18">
        <f t="shared" si="2"/>
        <v>2000000</v>
      </c>
      <c r="H59" s="18">
        <f>MAX(H57:H58)</f>
        <v>2000000</v>
      </c>
      <c r="I59" s="18">
        <f>MAX(I57:I58)</f>
        <v>2000000</v>
      </c>
      <c r="J59" s="18">
        <f>MAX(J57:J58)</f>
        <v>0</v>
      </c>
      <c r="K59" s="18">
        <f>MAX(K57:K58)</f>
        <v>0</v>
      </c>
      <c r="L59" s="18">
        <f>MAX(L57:L58)</f>
        <v>19000000</v>
      </c>
      <c r="M59" s="18">
        <f>SUM(B59:L59)</f>
        <v>35000000</v>
      </c>
    </row>
    <row r="60" spans="1:13" ht="18.75" customHeight="1">
      <c r="A60" s="3" t="s">
        <v>40</v>
      </c>
      <c r="B60" s="18">
        <f aca="true" t="shared" si="3" ref="B60:G60">B12+B16+B18</f>
        <v>0</v>
      </c>
      <c r="C60" s="18">
        <f t="shared" si="3"/>
        <v>0</v>
      </c>
      <c r="D60" s="18">
        <f t="shared" si="3"/>
        <v>0</v>
      </c>
      <c r="E60" s="18">
        <f t="shared" si="3"/>
        <v>0</v>
      </c>
      <c r="F60" s="18">
        <f t="shared" si="3"/>
        <v>4000000</v>
      </c>
      <c r="G60" s="18">
        <f t="shared" si="3"/>
        <v>2000000</v>
      </c>
      <c r="H60" s="18">
        <f>H12+H16+H18</f>
        <v>2000000</v>
      </c>
      <c r="I60" s="18">
        <f>I12+I16+I18</f>
        <v>600000</v>
      </c>
      <c r="J60" s="18">
        <f>J12+J16+J18</f>
        <v>2000000</v>
      </c>
      <c r="K60" s="18">
        <f>K12+K16+K18</f>
        <v>0</v>
      </c>
      <c r="L60" s="18">
        <f>L12+L16+L18</f>
        <v>17000000</v>
      </c>
      <c r="M60" s="18"/>
    </row>
    <row r="61" spans="1:13" ht="12.75">
      <c r="A61" s="3" t="s">
        <v>41</v>
      </c>
      <c r="B61" s="18">
        <f aca="true" t="shared" si="4" ref="B61:G61">B13+B20</f>
        <v>0</v>
      </c>
      <c r="C61" s="18">
        <f t="shared" si="4"/>
        <v>0</v>
      </c>
      <c r="D61" s="18">
        <f t="shared" si="4"/>
        <v>0</v>
      </c>
      <c r="E61" s="18">
        <f t="shared" si="4"/>
        <v>0</v>
      </c>
      <c r="F61" s="18">
        <f t="shared" si="4"/>
        <v>0</v>
      </c>
      <c r="G61" s="18">
        <f t="shared" si="4"/>
        <v>2000000</v>
      </c>
      <c r="H61" s="18">
        <f>H13+H20</f>
        <v>1400000</v>
      </c>
      <c r="I61" s="18">
        <f>I13+I20</f>
        <v>600000</v>
      </c>
      <c r="J61" s="18">
        <f>J13+J20</f>
        <v>2000000</v>
      </c>
      <c r="K61" s="18">
        <f>K13+K20</f>
        <v>0</v>
      </c>
      <c r="L61" s="18">
        <f>L13+L20</f>
        <v>9800000</v>
      </c>
      <c r="M61" s="18"/>
    </row>
    <row r="62" spans="1:13" ht="12.75">
      <c r="A62" s="3" t="s">
        <v>42</v>
      </c>
      <c r="B62" s="18">
        <f aca="true" t="shared" si="5" ref="B62:G62">B14+B17+B19</f>
        <v>0</v>
      </c>
      <c r="C62" s="18">
        <f t="shared" si="5"/>
        <v>0</v>
      </c>
      <c r="D62" s="18">
        <f t="shared" si="5"/>
        <v>0</v>
      </c>
      <c r="E62" s="18">
        <f t="shared" si="5"/>
        <v>0</v>
      </c>
      <c r="F62" s="18">
        <f t="shared" si="5"/>
        <v>0</v>
      </c>
      <c r="G62" s="18">
        <f t="shared" si="5"/>
        <v>0</v>
      </c>
      <c r="H62" s="18">
        <f>H14+H17+H19</f>
        <v>0</v>
      </c>
      <c r="I62" s="18">
        <f>I14+I17+I19</f>
        <v>0</v>
      </c>
      <c r="J62" s="18">
        <f>J14+J17+J19</f>
        <v>2000000</v>
      </c>
      <c r="K62" s="18">
        <f>K14+K17+K19</f>
        <v>0</v>
      </c>
      <c r="L62" s="18">
        <f>L14+L17+L19</f>
        <v>0</v>
      </c>
      <c r="M62" s="18"/>
    </row>
    <row r="63" spans="1:13" ht="12.75">
      <c r="A63" s="3" t="s">
        <v>43</v>
      </c>
      <c r="B63" s="18">
        <f aca="true" t="shared" si="6" ref="B63:G63">B15+B21</f>
        <v>0</v>
      </c>
      <c r="C63" s="18">
        <f t="shared" si="6"/>
        <v>0</v>
      </c>
      <c r="D63" s="18">
        <f t="shared" si="6"/>
        <v>2000000</v>
      </c>
      <c r="E63" s="18">
        <f t="shared" si="6"/>
        <v>1000000</v>
      </c>
      <c r="F63" s="18">
        <f t="shared" si="6"/>
        <v>2000000</v>
      </c>
      <c r="G63" s="18">
        <f t="shared" si="6"/>
        <v>0</v>
      </c>
      <c r="H63" s="18">
        <f>H15+H21</f>
        <v>600000</v>
      </c>
      <c r="I63" s="18">
        <f>I15+I21</f>
        <v>0</v>
      </c>
      <c r="J63" s="18">
        <f>J15+J21</f>
        <v>0</v>
      </c>
      <c r="K63" s="18">
        <f>K15+K21</f>
        <v>0</v>
      </c>
      <c r="L63" s="18">
        <f>L15+L21</f>
        <v>4200000</v>
      </c>
      <c r="M63" s="18"/>
    </row>
    <row r="64" spans="1:13" ht="12.75">
      <c r="A64" s="3" t="s">
        <v>80</v>
      </c>
      <c r="B64" s="18">
        <f aca="true" t="shared" si="7" ref="B64:G64">MAX(B60+B62,B61+B63)</f>
        <v>0</v>
      </c>
      <c r="C64" s="18">
        <f t="shared" si="7"/>
        <v>0</v>
      </c>
      <c r="D64" s="18">
        <f t="shared" si="7"/>
        <v>2000000</v>
      </c>
      <c r="E64" s="18">
        <f t="shared" si="7"/>
        <v>1000000</v>
      </c>
      <c r="F64" s="18">
        <f t="shared" si="7"/>
        <v>4000000</v>
      </c>
      <c r="G64" s="18">
        <f t="shared" si="7"/>
        <v>2000000</v>
      </c>
      <c r="H64" s="18">
        <f>MAX(H60+H62,H61+H63)</f>
        <v>2000000</v>
      </c>
      <c r="I64" s="18">
        <f>MAX(I60+I62,I61+I63)</f>
        <v>600000</v>
      </c>
      <c r="J64" s="18">
        <f>MAX(J60+J62,J61+J63)</f>
        <v>4000000</v>
      </c>
      <c r="K64" s="18">
        <f>MAX(K60+K62,K61+K63)</f>
        <v>0</v>
      </c>
      <c r="L64" s="18">
        <f>MAX(L60+L62,L61+L63)</f>
        <v>17000000</v>
      </c>
      <c r="M64" s="18">
        <f>SUM(B64:L64)</f>
        <v>32600000</v>
      </c>
    </row>
    <row r="65" spans="1:13" ht="18.75" customHeight="1">
      <c r="A65" s="3" t="s">
        <v>44</v>
      </c>
      <c r="B65" s="18">
        <f aca="true" t="shared" si="8" ref="B65:G65">B37+B39</f>
        <v>0</v>
      </c>
      <c r="C65" s="18">
        <f t="shared" si="8"/>
        <v>0</v>
      </c>
      <c r="D65" s="18">
        <f t="shared" si="8"/>
        <v>0</v>
      </c>
      <c r="E65" s="18">
        <f t="shared" si="8"/>
        <v>0</v>
      </c>
      <c r="F65" s="18">
        <f t="shared" si="8"/>
        <v>0</v>
      </c>
      <c r="G65" s="18">
        <f t="shared" si="8"/>
        <v>0</v>
      </c>
      <c r="H65" s="18">
        <f>H37+H39</f>
        <v>0</v>
      </c>
      <c r="I65" s="18">
        <f>I37+I39</f>
        <v>0</v>
      </c>
      <c r="J65" s="18">
        <f>J37+J39</f>
        <v>0</v>
      </c>
      <c r="K65" s="18">
        <f>K37+K39</f>
        <v>2000000</v>
      </c>
      <c r="L65" s="18">
        <f>L37+L39</f>
        <v>0</v>
      </c>
      <c r="M65" s="18"/>
    </row>
    <row r="66" spans="1:13" ht="12.75">
      <c r="A66" s="3" t="s">
        <v>45</v>
      </c>
      <c r="B66" s="18">
        <f aca="true" t="shared" si="9" ref="B66:G66">B41+B43</f>
        <v>0</v>
      </c>
      <c r="C66" s="18">
        <f t="shared" si="9"/>
        <v>0</v>
      </c>
      <c r="D66" s="18">
        <f t="shared" si="9"/>
        <v>0</v>
      </c>
      <c r="E66" s="18">
        <f t="shared" si="9"/>
        <v>1000000</v>
      </c>
      <c r="F66" s="18">
        <f t="shared" si="9"/>
        <v>2000000</v>
      </c>
      <c r="G66" s="18">
        <f t="shared" si="9"/>
        <v>2000000</v>
      </c>
      <c r="H66" s="18">
        <f>H41+H43</f>
        <v>1400000</v>
      </c>
      <c r="I66" s="18">
        <f>I41+I43</f>
        <v>0</v>
      </c>
      <c r="J66" s="18">
        <f>J41+J43</f>
        <v>2000000</v>
      </c>
      <c r="K66" s="18">
        <f>K41+K43</f>
        <v>2000000</v>
      </c>
      <c r="L66" s="18">
        <f>L41+L43</f>
        <v>9800000</v>
      </c>
      <c r="M66" s="18"/>
    </row>
    <row r="67" spans="1:13" ht="12.75">
      <c r="A67" s="3" t="s">
        <v>46</v>
      </c>
      <c r="B67" s="18">
        <f aca="true" t="shared" si="10" ref="B67:G67">B38+B40</f>
        <v>0</v>
      </c>
      <c r="C67" s="18">
        <f t="shared" si="10"/>
        <v>0</v>
      </c>
      <c r="D67" s="18">
        <f t="shared" si="10"/>
        <v>0</v>
      </c>
      <c r="E67" s="18">
        <f t="shared" si="10"/>
        <v>0</v>
      </c>
      <c r="F67" s="18">
        <f t="shared" si="10"/>
        <v>0</v>
      </c>
      <c r="G67" s="18">
        <f t="shared" si="10"/>
        <v>0</v>
      </c>
      <c r="H67" s="18">
        <f>H38+H40</f>
        <v>0</v>
      </c>
      <c r="I67" s="18">
        <f>I38+I40</f>
        <v>0</v>
      </c>
      <c r="J67" s="18">
        <f>J38+J40</f>
        <v>0</v>
      </c>
      <c r="K67" s="18">
        <f>K38+K40</f>
        <v>0</v>
      </c>
      <c r="L67" s="18">
        <f>L38+L40</f>
        <v>0</v>
      </c>
      <c r="M67" s="18"/>
    </row>
    <row r="68" spans="1:13" ht="12.75">
      <c r="A68" s="3" t="s">
        <v>47</v>
      </c>
      <c r="B68" s="18">
        <f aca="true" t="shared" si="11" ref="B68:G68">B42+B44</f>
        <v>0</v>
      </c>
      <c r="C68" s="18">
        <f t="shared" si="11"/>
        <v>0</v>
      </c>
      <c r="D68" s="18">
        <f t="shared" si="11"/>
        <v>0</v>
      </c>
      <c r="E68" s="18">
        <f t="shared" si="11"/>
        <v>0</v>
      </c>
      <c r="F68" s="18">
        <f t="shared" si="11"/>
        <v>0</v>
      </c>
      <c r="G68" s="18">
        <f t="shared" si="11"/>
        <v>0</v>
      </c>
      <c r="H68" s="18">
        <f>H42+H44</f>
        <v>0</v>
      </c>
      <c r="I68" s="18">
        <f>I42+I44</f>
        <v>0</v>
      </c>
      <c r="J68" s="18">
        <f>J42+J44</f>
        <v>0</v>
      </c>
      <c r="K68" s="18">
        <f>K42+K44</f>
        <v>0</v>
      </c>
      <c r="L68" s="18">
        <f>L42+L44</f>
        <v>0</v>
      </c>
      <c r="M68" s="18"/>
    </row>
    <row r="69" spans="1:13" ht="12.75">
      <c r="A69" s="3" t="s">
        <v>81</v>
      </c>
      <c r="B69" s="18">
        <f aca="true" t="shared" si="12" ref="B69:G69">MAX(B65+B67,B66+B68)</f>
        <v>0</v>
      </c>
      <c r="C69" s="18">
        <f t="shared" si="12"/>
        <v>0</v>
      </c>
      <c r="D69" s="18">
        <f t="shared" si="12"/>
        <v>0</v>
      </c>
      <c r="E69" s="18">
        <f t="shared" si="12"/>
        <v>1000000</v>
      </c>
      <c r="F69" s="18">
        <f t="shared" si="12"/>
        <v>2000000</v>
      </c>
      <c r="G69" s="18">
        <f t="shared" si="12"/>
        <v>2000000</v>
      </c>
      <c r="H69" s="18">
        <f>MAX(H65+H67,H66+H68)</f>
        <v>1400000</v>
      </c>
      <c r="I69" s="18">
        <f>MAX(I65+I67,I66+I68)</f>
        <v>0</v>
      </c>
      <c r="J69" s="18">
        <f>MAX(J65+J67,J66+J68)</f>
        <v>2000000</v>
      </c>
      <c r="K69" s="18">
        <f>MAX(K65+K67,K66+K68)</f>
        <v>2000000</v>
      </c>
      <c r="L69" s="18">
        <f>MAX(L65+L67,L66+L68)</f>
        <v>9800000</v>
      </c>
      <c r="M69" s="18">
        <f>SUM(B69:L69)</f>
        <v>20200000</v>
      </c>
    </row>
    <row r="70" ht="12.75">
      <c r="H70"/>
    </row>
    <row r="71" spans="1:13" ht="12.75">
      <c r="A71" s="3" t="s">
        <v>59</v>
      </c>
      <c r="B71" s="18">
        <f aca="true" t="shared" si="13" ref="B71:G71">B59+B64+B69</f>
        <v>2000000</v>
      </c>
      <c r="C71" s="18">
        <f t="shared" si="13"/>
        <v>2000000</v>
      </c>
      <c r="D71" s="18">
        <f t="shared" si="13"/>
        <v>4000000</v>
      </c>
      <c r="E71" s="18">
        <f t="shared" si="13"/>
        <v>4000000</v>
      </c>
      <c r="F71" s="18">
        <f t="shared" si="13"/>
        <v>8000000</v>
      </c>
      <c r="G71" s="18">
        <f t="shared" si="13"/>
        <v>6000000</v>
      </c>
      <c r="H71" s="18">
        <f aca="true" t="shared" si="14" ref="H71:M71">H59+H64+H69</f>
        <v>5400000</v>
      </c>
      <c r="I71" s="18">
        <f t="shared" si="14"/>
        <v>2600000</v>
      </c>
      <c r="J71" s="18">
        <f t="shared" si="14"/>
        <v>6000000</v>
      </c>
      <c r="K71" s="18">
        <f t="shared" si="14"/>
        <v>2000000</v>
      </c>
      <c r="L71" s="18">
        <f t="shared" si="14"/>
        <v>45800000</v>
      </c>
      <c r="M71" s="18">
        <f t="shared" si="14"/>
        <v>87800000</v>
      </c>
    </row>
    <row r="72" spans="1:13" ht="12.75">
      <c r="A72" s="3" t="s">
        <v>58</v>
      </c>
      <c r="B72" s="19">
        <f aca="true" t="shared" si="15" ref="B72:L72">B71/$M$71</f>
        <v>0.022779043280182234</v>
      </c>
      <c r="C72" s="19">
        <f t="shared" si="15"/>
        <v>0.022779043280182234</v>
      </c>
      <c r="D72" s="19">
        <f t="shared" si="15"/>
        <v>0.04555808656036447</v>
      </c>
      <c r="E72" s="19">
        <f t="shared" si="15"/>
        <v>0.04555808656036447</v>
      </c>
      <c r="F72" s="19">
        <f t="shared" si="15"/>
        <v>0.09111617312072894</v>
      </c>
      <c r="G72" s="19">
        <f t="shared" si="15"/>
        <v>0.0683371298405467</v>
      </c>
      <c r="H72" s="19">
        <f t="shared" si="15"/>
        <v>0.06150341685649203</v>
      </c>
      <c r="I72" s="19">
        <f t="shared" si="15"/>
        <v>0.029612756264236904</v>
      </c>
      <c r="J72" s="19">
        <f t="shared" si="15"/>
        <v>0.0683371298405467</v>
      </c>
      <c r="K72" s="19">
        <f t="shared" si="15"/>
        <v>0.022779043280182234</v>
      </c>
      <c r="L72" s="19">
        <f t="shared" si="15"/>
        <v>0.5216400911161732</v>
      </c>
      <c r="M72" s="19">
        <f>M71/$M$71</f>
        <v>1</v>
      </c>
    </row>
    <row r="73" spans="1:13" ht="12.75">
      <c r="A73" s="3" t="s">
        <v>57</v>
      </c>
      <c r="B73" s="20">
        <f aca="true" t="shared" si="16" ref="B73:L73">$B$2*B72</f>
        <v>455580.8656036447</v>
      </c>
      <c r="C73" s="20">
        <f t="shared" si="16"/>
        <v>455580.8656036447</v>
      </c>
      <c r="D73" s="20">
        <f t="shared" si="16"/>
        <v>911161.7312072894</v>
      </c>
      <c r="E73" s="20">
        <f t="shared" si="16"/>
        <v>911161.7312072894</v>
      </c>
      <c r="F73" s="20">
        <f t="shared" si="16"/>
        <v>1822323.4624145788</v>
      </c>
      <c r="G73" s="20">
        <f t="shared" si="16"/>
        <v>1366742.596810934</v>
      </c>
      <c r="H73" s="20">
        <f t="shared" si="16"/>
        <v>1230068.3371298406</v>
      </c>
      <c r="I73" s="20">
        <f t="shared" si="16"/>
        <v>592255.125284738</v>
      </c>
      <c r="J73" s="20">
        <f t="shared" si="16"/>
        <v>1366742.596810934</v>
      </c>
      <c r="K73" s="20">
        <f t="shared" si="16"/>
        <v>455580.8656036447</v>
      </c>
      <c r="L73" s="20">
        <f t="shared" si="16"/>
        <v>10432801.822323464</v>
      </c>
      <c r="M73" s="20">
        <f>$B$2*M72</f>
        <v>20000000</v>
      </c>
    </row>
  </sheetData>
  <sheetProtection password="83AF" sheet="1"/>
  <printOptions/>
  <pageMargins left="0.75" right="0.75" top="1" bottom="1" header="0.5" footer="0.5"/>
  <pageSetup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58">
      <selection activeCell="D22" sqref="D22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28125" style="0" bestFit="1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16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spans="1:13" ht="18.75" customHeight="1">
      <c r="A1" s="1" t="str">
        <f>Summary!A1</f>
        <v>Assumptions</v>
      </c>
      <c r="M1" s="4"/>
    </row>
    <row r="2" spans="1:13" ht="12.75">
      <c r="A2" s="2" t="str">
        <f>Summary!A2</f>
        <v>Size of Default</v>
      </c>
      <c r="B2" s="27">
        <f>Summary!B2</f>
        <v>20000000</v>
      </c>
      <c r="M2" s="4"/>
    </row>
    <row r="3" spans="2:13" ht="12.75">
      <c r="B3" t="s">
        <v>15</v>
      </c>
      <c r="C3" t="s">
        <v>16</v>
      </c>
      <c r="D3" s="12" t="s">
        <v>60</v>
      </c>
      <c r="M3" s="4"/>
    </row>
    <row r="4" spans="1:13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  <c r="M4"/>
    </row>
    <row r="5" spans="1:13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  <c r="M5"/>
    </row>
    <row r="6" spans="1:13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  <c r="M6"/>
    </row>
    <row r="7" spans="1:13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  <c r="M7"/>
    </row>
    <row r="8" spans="1:13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  <c r="M8"/>
    </row>
    <row r="9" spans="1:13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  <c r="M9"/>
    </row>
    <row r="10" ht="11.25" customHeight="1">
      <c r="M10" s="4"/>
    </row>
    <row r="11" spans="1:14" ht="105" customHeight="1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Approximately Seven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7200000</v>
      </c>
      <c r="M12" s="14">
        <f>'QSE Portfolio'!M2</f>
        <v>10400000</v>
      </c>
      <c r="N12" s="15">
        <f>'QSE Portfolio'!N2</f>
        <v>0.37142857142857144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4200000</v>
      </c>
      <c r="M15" s="14">
        <f>'QSE Portfolio'!M5</f>
        <v>9800000</v>
      </c>
      <c r="N15" s="15">
        <f>'QSE Portfolio'!N5</f>
        <v>0.35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9800000</v>
      </c>
      <c r="M18" s="14">
        <f>'QSE Portfolio'!M8</f>
        <v>17200000</v>
      </c>
      <c r="N18" s="15">
        <f>'QSE Portfolio'!N8</f>
        <v>0.6142857142857143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9800000</v>
      </c>
      <c r="M20" s="14">
        <f>'QSE Portfolio'!M10</f>
        <v>13200000</v>
      </c>
      <c r="N20" s="15">
        <f>'QSE Portfolio'!N10</f>
        <v>0.4714285714285714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6300000</v>
      </c>
      <c r="M23" s="14">
        <f>'QSE Portfolio'!M13</f>
        <v>14200000</v>
      </c>
      <c r="N23" s="15">
        <f>'QSE Portfolio'!N13</f>
        <v>0.5071428571428571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6300000</v>
      </c>
      <c r="M26" s="14">
        <f>'QSE Portfolio'!M16</f>
        <v>14200000</v>
      </c>
      <c r="N26" s="15">
        <f>'QSE Portfolio'!N16</f>
        <v>0.5071428571428571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19000000</v>
      </c>
      <c r="M32" s="14">
        <f>'QSE Portfolio'!M22</f>
        <v>28000000</v>
      </c>
      <c r="N32" s="15">
        <f>'QSE Portfolio'!N22</f>
        <v>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14000000</v>
      </c>
      <c r="M33" s="14">
        <f>'QSE Portfolio'!M23</f>
        <v>28000000</v>
      </c>
      <c r="N33" s="15">
        <f>'QSE Portfolio'!N23</f>
        <v>1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5500000</v>
      </c>
      <c r="M35" s="14">
        <f>'QSE Portfolio'!M25</f>
        <v>6000000</v>
      </c>
      <c r="N35" s="15">
        <f>'QSE Portfolio'!N25</f>
        <v>0.21428571428571427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-3500000</v>
      </c>
      <c r="M36" s="14">
        <f>'QSE Portfolio'!M26</f>
        <v>-6000000</v>
      </c>
      <c r="N36" s="15">
        <f>'QSE Portfolio'!N26</f>
        <v>-0.21428571428571427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9800000</v>
      </c>
      <c r="M41" s="14">
        <f>'QSE Portfolio'!M31</f>
        <v>20200000</v>
      </c>
      <c r="N41" s="15">
        <f>'QSE Portfolio'!N31</f>
        <v>0.7214285714285714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9800000</v>
      </c>
      <c r="M54" s="14">
        <f>'QSE Portfolio'!M44</f>
        <v>13200000</v>
      </c>
      <c r="N54" s="15">
        <f>'QSE Portfolio'!N44</f>
        <v>0.4714285714285714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12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9"/>
    </row>
    <row r="57" spans="1:13" ht="18.75" customHeight="1">
      <c r="A57" s="3" t="s">
        <v>82</v>
      </c>
      <c r="B57" s="18">
        <f aca="true" t="shared" si="0" ref="B57:L57">MAX(B32,B12)+B16+B18</f>
        <v>0</v>
      </c>
      <c r="C57" s="18">
        <f t="shared" si="0"/>
        <v>0</v>
      </c>
      <c r="D57" s="18">
        <f t="shared" si="0"/>
        <v>0</v>
      </c>
      <c r="E57" s="18">
        <f t="shared" si="0"/>
        <v>1000000</v>
      </c>
      <c r="F57" s="18">
        <f aca="true" t="shared" si="1" ref="F57:K57">MAX(F32,F12)+F16+F18</f>
        <v>4000000</v>
      </c>
      <c r="G57" s="18">
        <f t="shared" si="1"/>
        <v>4000000</v>
      </c>
      <c r="H57" s="18">
        <f t="shared" si="1"/>
        <v>3400000</v>
      </c>
      <c r="I57" s="18">
        <f t="shared" si="1"/>
        <v>2000000</v>
      </c>
      <c r="J57" s="18">
        <f t="shared" si="1"/>
        <v>2000000</v>
      </c>
      <c r="K57" s="18">
        <f t="shared" si="1"/>
        <v>0</v>
      </c>
      <c r="L57" s="18">
        <f t="shared" si="0"/>
        <v>28800000</v>
      </c>
      <c r="M57" s="18"/>
    </row>
    <row r="58" spans="1:13" ht="12.75">
      <c r="A58" s="3" t="s">
        <v>83</v>
      </c>
      <c r="B58" s="18">
        <f aca="true" t="shared" si="2" ref="B58:L58">MAX(B31,B13)+B20</f>
        <v>0</v>
      </c>
      <c r="C58" s="18">
        <f t="shared" si="2"/>
        <v>0</v>
      </c>
      <c r="D58" s="18">
        <f t="shared" si="2"/>
        <v>0</v>
      </c>
      <c r="E58" s="18">
        <f t="shared" si="2"/>
        <v>0</v>
      </c>
      <c r="F58" s="18">
        <f aca="true" t="shared" si="3" ref="F58:K58">MAX(F31,F13)+F20</f>
        <v>0</v>
      </c>
      <c r="G58" s="18">
        <f t="shared" si="3"/>
        <v>2000000</v>
      </c>
      <c r="H58" s="18">
        <f t="shared" si="3"/>
        <v>1400000</v>
      </c>
      <c r="I58" s="18">
        <f t="shared" si="3"/>
        <v>600000</v>
      </c>
      <c r="J58" s="18">
        <f t="shared" si="3"/>
        <v>2000000</v>
      </c>
      <c r="K58" s="18">
        <f t="shared" si="3"/>
        <v>0</v>
      </c>
      <c r="L58" s="18">
        <f t="shared" si="2"/>
        <v>9800000</v>
      </c>
      <c r="M58" s="18"/>
    </row>
    <row r="59" spans="1:13" ht="12.75">
      <c r="A59" s="3" t="s">
        <v>84</v>
      </c>
      <c r="B59" s="18">
        <f aca="true" t="shared" si="4" ref="B59:L59">MAX(B34,B14)+B17+B19</f>
        <v>0</v>
      </c>
      <c r="C59" s="18">
        <f t="shared" si="4"/>
        <v>0</v>
      </c>
      <c r="D59" s="18">
        <f t="shared" si="4"/>
        <v>0</v>
      </c>
      <c r="E59" s="18">
        <f t="shared" si="4"/>
        <v>0</v>
      </c>
      <c r="F59" s="18">
        <f aca="true" t="shared" si="5" ref="F59:K59">MAX(F34,F14)+F17+F19</f>
        <v>0</v>
      </c>
      <c r="G59" s="18">
        <f t="shared" si="5"/>
        <v>0</v>
      </c>
      <c r="H59" s="18">
        <f t="shared" si="5"/>
        <v>0</v>
      </c>
      <c r="I59" s="18">
        <f t="shared" si="5"/>
        <v>0</v>
      </c>
      <c r="J59" s="18">
        <f t="shared" si="5"/>
        <v>2000000</v>
      </c>
      <c r="K59" s="18">
        <f t="shared" si="5"/>
        <v>0</v>
      </c>
      <c r="L59" s="18">
        <f t="shared" si="4"/>
        <v>0</v>
      </c>
      <c r="M59" s="18"/>
    </row>
    <row r="60" spans="1:13" ht="12.75">
      <c r="A60" s="3" t="s">
        <v>85</v>
      </c>
      <c r="B60" s="18">
        <f aca="true" t="shared" si="6" ref="B60:L60">MAX(B33,B15)+B21</f>
        <v>2000000</v>
      </c>
      <c r="C60" s="18">
        <f t="shared" si="6"/>
        <v>2000000</v>
      </c>
      <c r="D60" s="18">
        <f t="shared" si="6"/>
        <v>2000000</v>
      </c>
      <c r="E60" s="18">
        <f t="shared" si="6"/>
        <v>2000000</v>
      </c>
      <c r="F60" s="18">
        <f aca="true" t="shared" si="7" ref="F60:K60">MAX(F33,F15)+F21</f>
        <v>2000000</v>
      </c>
      <c r="G60" s="18">
        <f t="shared" si="7"/>
        <v>2000000</v>
      </c>
      <c r="H60" s="18">
        <f t="shared" si="7"/>
        <v>2000000</v>
      </c>
      <c r="I60" s="18">
        <f t="shared" si="7"/>
        <v>0</v>
      </c>
      <c r="J60" s="18">
        <f t="shared" si="7"/>
        <v>0</v>
      </c>
      <c r="K60" s="18">
        <f t="shared" si="7"/>
        <v>0</v>
      </c>
      <c r="L60" s="18">
        <f t="shared" si="6"/>
        <v>14000000</v>
      </c>
      <c r="M60" s="18"/>
    </row>
    <row r="61" spans="1:13" ht="12.75">
      <c r="A61" s="3" t="s">
        <v>86</v>
      </c>
      <c r="B61" s="18">
        <f aca="true" t="shared" si="8" ref="B61:L61">MAX(B57+B59,B58+B60)</f>
        <v>2000000</v>
      </c>
      <c r="C61" s="18">
        <f t="shared" si="8"/>
        <v>2000000</v>
      </c>
      <c r="D61" s="18">
        <f t="shared" si="8"/>
        <v>2000000</v>
      </c>
      <c r="E61" s="18">
        <f t="shared" si="8"/>
        <v>2000000</v>
      </c>
      <c r="F61" s="18">
        <f aca="true" t="shared" si="9" ref="F61:K61">MAX(F57+F59,F58+F60)</f>
        <v>4000000</v>
      </c>
      <c r="G61" s="18">
        <f t="shared" si="9"/>
        <v>4000000</v>
      </c>
      <c r="H61" s="18">
        <f t="shared" si="9"/>
        <v>3400000</v>
      </c>
      <c r="I61" s="18">
        <f t="shared" si="9"/>
        <v>2000000</v>
      </c>
      <c r="J61" s="18">
        <f t="shared" si="9"/>
        <v>4000000</v>
      </c>
      <c r="K61" s="18">
        <f t="shared" si="9"/>
        <v>0</v>
      </c>
      <c r="L61" s="18">
        <f t="shared" si="8"/>
        <v>28800000</v>
      </c>
      <c r="M61" s="18">
        <f>SUM(B61:L61)</f>
        <v>54200000</v>
      </c>
    </row>
    <row r="62" spans="1:13" ht="18.75" customHeight="1">
      <c r="A62" s="3" t="s">
        <v>44</v>
      </c>
      <c r="B62" s="18">
        <f aca="true" t="shared" si="10" ref="B62:L62">B37+B39</f>
        <v>0</v>
      </c>
      <c r="C62" s="18">
        <f t="shared" si="10"/>
        <v>0</v>
      </c>
      <c r="D62" s="18">
        <f t="shared" si="10"/>
        <v>0</v>
      </c>
      <c r="E62" s="18">
        <f t="shared" si="10"/>
        <v>0</v>
      </c>
      <c r="F62" s="18">
        <f aca="true" t="shared" si="11" ref="F62:K62">F37+F39</f>
        <v>0</v>
      </c>
      <c r="G62" s="18">
        <f t="shared" si="11"/>
        <v>0</v>
      </c>
      <c r="H62" s="18">
        <f t="shared" si="11"/>
        <v>0</v>
      </c>
      <c r="I62" s="18">
        <f t="shared" si="11"/>
        <v>0</v>
      </c>
      <c r="J62" s="18">
        <f t="shared" si="11"/>
        <v>0</v>
      </c>
      <c r="K62" s="18">
        <f t="shared" si="11"/>
        <v>2000000</v>
      </c>
      <c r="L62" s="18">
        <f t="shared" si="10"/>
        <v>0</v>
      </c>
      <c r="M62" s="18"/>
    </row>
    <row r="63" spans="1:13" ht="12.75">
      <c r="A63" s="3" t="s">
        <v>45</v>
      </c>
      <c r="B63" s="18">
        <f aca="true" t="shared" si="12" ref="B63:L63">B41+B43</f>
        <v>0</v>
      </c>
      <c r="C63" s="18">
        <f t="shared" si="12"/>
        <v>0</v>
      </c>
      <c r="D63" s="18">
        <f t="shared" si="12"/>
        <v>0</v>
      </c>
      <c r="E63" s="18">
        <f t="shared" si="12"/>
        <v>1000000</v>
      </c>
      <c r="F63" s="18">
        <f aca="true" t="shared" si="13" ref="F63:K63">F41+F43</f>
        <v>2000000</v>
      </c>
      <c r="G63" s="18">
        <f t="shared" si="13"/>
        <v>2000000</v>
      </c>
      <c r="H63" s="18">
        <f t="shared" si="13"/>
        <v>1400000</v>
      </c>
      <c r="I63" s="18">
        <f t="shared" si="13"/>
        <v>0</v>
      </c>
      <c r="J63" s="18">
        <f t="shared" si="13"/>
        <v>2000000</v>
      </c>
      <c r="K63" s="18">
        <f t="shared" si="13"/>
        <v>2000000</v>
      </c>
      <c r="L63" s="18">
        <f t="shared" si="12"/>
        <v>9800000</v>
      </c>
      <c r="M63" s="18"/>
    </row>
    <row r="64" spans="1:13" ht="12.75">
      <c r="A64" s="3" t="s">
        <v>46</v>
      </c>
      <c r="B64" s="18">
        <f aca="true" t="shared" si="14" ref="B64:L64">B38+B40</f>
        <v>0</v>
      </c>
      <c r="C64" s="18">
        <f t="shared" si="14"/>
        <v>0</v>
      </c>
      <c r="D64" s="18">
        <f t="shared" si="14"/>
        <v>0</v>
      </c>
      <c r="E64" s="18">
        <f t="shared" si="14"/>
        <v>0</v>
      </c>
      <c r="F64" s="18">
        <f aca="true" t="shared" si="15" ref="F64:K64">F38+F40</f>
        <v>0</v>
      </c>
      <c r="G64" s="18">
        <f t="shared" si="15"/>
        <v>0</v>
      </c>
      <c r="H64" s="18">
        <f t="shared" si="15"/>
        <v>0</v>
      </c>
      <c r="I64" s="18">
        <f t="shared" si="15"/>
        <v>0</v>
      </c>
      <c r="J64" s="18">
        <f t="shared" si="15"/>
        <v>0</v>
      </c>
      <c r="K64" s="18">
        <f t="shared" si="15"/>
        <v>0</v>
      </c>
      <c r="L64" s="18">
        <f t="shared" si="14"/>
        <v>0</v>
      </c>
      <c r="M64" s="18"/>
    </row>
    <row r="65" spans="1:13" ht="12.75">
      <c r="A65" s="3" t="s">
        <v>47</v>
      </c>
      <c r="B65" s="18">
        <f aca="true" t="shared" si="16" ref="B65:L65">B42+B44</f>
        <v>0</v>
      </c>
      <c r="C65" s="18">
        <f t="shared" si="16"/>
        <v>0</v>
      </c>
      <c r="D65" s="18">
        <f t="shared" si="16"/>
        <v>0</v>
      </c>
      <c r="E65" s="18">
        <f t="shared" si="16"/>
        <v>0</v>
      </c>
      <c r="F65" s="18">
        <f aca="true" t="shared" si="17" ref="F65:K65">F42+F44</f>
        <v>0</v>
      </c>
      <c r="G65" s="18">
        <f t="shared" si="17"/>
        <v>0</v>
      </c>
      <c r="H65" s="18">
        <f t="shared" si="17"/>
        <v>0</v>
      </c>
      <c r="I65" s="18">
        <f t="shared" si="17"/>
        <v>0</v>
      </c>
      <c r="J65" s="18">
        <f t="shared" si="17"/>
        <v>0</v>
      </c>
      <c r="K65" s="18">
        <f t="shared" si="17"/>
        <v>0</v>
      </c>
      <c r="L65" s="18">
        <f t="shared" si="16"/>
        <v>0</v>
      </c>
      <c r="M65" s="18"/>
    </row>
    <row r="66" spans="1:13" ht="12.75">
      <c r="A66" s="3" t="s">
        <v>81</v>
      </c>
      <c r="B66" s="18">
        <f aca="true" t="shared" si="18" ref="B66:L66">MAX(B62+B64,B63+B65)</f>
        <v>0</v>
      </c>
      <c r="C66" s="18">
        <f t="shared" si="18"/>
        <v>0</v>
      </c>
      <c r="D66" s="18">
        <f t="shared" si="18"/>
        <v>0</v>
      </c>
      <c r="E66" s="18">
        <f t="shared" si="18"/>
        <v>1000000</v>
      </c>
      <c r="F66" s="18">
        <f aca="true" t="shared" si="19" ref="F66:K66">MAX(F62+F64,F63+F65)</f>
        <v>2000000</v>
      </c>
      <c r="G66" s="18">
        <f t="shared" si="19"/>
        <v>2000000</v>
      </c>
      <c r="H66" s="18">
        <f t="shared" si="19"/>
        <v>1400000</v>
      </c>
      <c r="I66" s="18">
        <f t="shared" si="19"/>
        <v>0</v>
      </c>
      <c r="J66" s="18">
        <f t="shared" si="19"/>
        <v>2000000</v>
      </c>
      <c r="K66" s="18">
        <f t="shared" si="19"/>
        <v>2000000</v>
      </c>
      <c r="L66" s="18">
        <f t="shared" si="18"/>
        <v>9800000</v>
      </c>
      <c r="M66" s="18">
        <f>SUM(B66:L66)</f>
        <v>20200000</v>
      </c>
    </row>
    <row r="67" ht="12.75">
      <c r="M67"/>
    </row>
    <row r="68" spans="1:13" ht="12.75">
      <c r="A68" s="3" t="s">
        <v>91</v>
      </c>
      <c r="B68" s="18">
        <f aca="true" t="shared" si="20" ref="B68:L68">B61+B66</f>
        <v>2000000</v>
      </c>
      <c r="C68" s="18">
        <f t="shared" si="20"/>
        <v>2000000</v>
      </c>
      <c r="D68" s="18">
        <f t="shared" si="20"/>
        <v>2000000</v>
      </c>
      <c r="E68" s="18">
        <f t="shared" si="20"/>
        <v>3000000</v>
      </c>
      <c r="F68" s="18">
        <f aca="true" t="shared" si="21" ref="F68:K68">F61+F66</f>
        <v>6000000</v>
      </c>
      <c r="G68" s="18">
        <f t="shared" si="21"/>
        <v>6000000</v>
      </c>
      <c r="H68" s="18">
        <f t="shared" si="21"/>
        <v>4800000</v>
      </c>
      <c r="I68" s="18">
        <f t="shared" si="21"/>
        <v>2000000</v>
      </c>
      <c r="J68" s="18">
        <f t="shared" si="21"/>
        <v>6000000</v>
      </c>
      <c r="K68" s="18">
        <f t="shared" si="21"/>
        <v>2000000</v>
      </c>
      <c r="L68" s="18">
        <f t="shared" si="20"/>
        <v>38600000</v>
      </c>
      <c r="M68" s="18">
        <f>M61+M66</f>
        <v>74400000</v>
      </c>
    </row>
    <row r="69" spans="1:13" ht="12.75">
      <c r="A69" s="3" t="s">
        <v>92</v>
      </c>
      <c r="B69" s="19">
        <f aca="true" t="shared" si="22" ref="B69:L69">B68/$M$68</f>
        <v>0.026881720430107527</v>
      </c>
      <c r="C69" s="19">
        <f t="shared" si="22"/>
        <v>0.026881720430107527</v>
      </c>
      <c r="D69" s="19">
        <f t="shared" si="22"/>
        <v>0.026881720430107527</v>
      </c>
      <c r="E69" s="19">
        <f t="shared" si="22"/>
        <v>0.04032258064516129</v>
      </c>
      <c r="F69" s="19">
        <f aca="true" t="shared" si="23" ref="F69:K69">F68/$M$68</f>
        <v>0.08064516129032258</v>
      </c>
      <c r="G69" s="19">
        <f t="shared" si="23"/>
        <v>0.08064516129032258</v>
      </c>
      <c r="H69" s="19">
        <f t="shared" si="23"/>
        <v>0.06451612903225806</v>
      </c>
      <c r="I69" s="19">
        <f t="shared" si="23"/>
        <v>0.026881720430107527</v>
      </c>
      <c r="J69" s="19">
        <f t="shared" si="23"/>
        <v>0.08064516129032258</v>
      </c>
      <c r="K69" s="19">
        <f t="shared" si="23"/>
        <v>0.026881720430107527</v>
      </c>
      <c r="L69" s="19">
        <f t="shared" si="22"/>
        <v>0.5188172043010753</v>
      </c>
      <c r="M69" s="19">
        <f>M68/$M$68</f>
        <v>1</v>
      </c>
    </row>
    <row r="70" spans="1:13" ht="12.75">
      <c r="A70" s="3" t="s">
        <v>93</v>
      </c>
      <c r="B70" s="20">
        <f>$B$2*B69</f>
        <v>537634.4086021505</v>
      </c>
      <c r="C70" s="20">
        <f aca="true" t="shared" si="24" ref="C70:M70">$B$2*C69</f>
        <v>537634.4086021505</v>
      </c>
      <c r="D70" s="20">
        <f t="shared" si="24"/>
        <v>537634.4086021505</v>
      </c>
      <c r="E70" s="20">
        <f t="shared" si="24"/>
        <v>806451.6129032258</v>
      </c>
      <c r="F70" s="20">
        <f aca="true" t="shared" si="25" ref="F70:K70">$B$2*F69</f>
        <v>1612903.2258064516</v>
      </c>
      <c r="G70" s="20">
        <f t="shared" si="25"/>
        <v>1612903.2258064516</v>
      </c>
      <c r="H70" s="20">
        <f t="shared" si="25"/>
        <v>1290322.5806451612</v>
      </c>
      <c r="I70" s="20">
        <f t="shared" si="25"/>
        <v>537634.4086021505</v>
      </c>
      <c r="J70" s="20">
        <f t="shared" si="25"/>
        <v>1612903.2258064516</v>
      </c>
      <c r="K70" s="20">
        <f t="shared" si="25"/>
        <v>537634.4086021505</v>
      </c>
      <c r="L70" s="20">
        <f t="shared" si="24"/>
        <v>10376344.086021505</v>
      </c>
      <c r="M70" s="20">
        <f t="shared" si="24"/>
        <v>20000000</v>
      </c>
    </row>
  </sheetData>
  <sheetProtection password="83AF" sheet="1"/>
  <printOptions/>
  <pageMargins left="0.75" right="0.75" top="1" bottom="1" header="0.5" footer="0.5"/>
  <pageSetup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57">
      <selection activeCell="M70" sqref="M70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28125" style="0" bestFit="1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16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spans="1:13" ht="18.75" customHeight="1">
      <c r="A1" s="1" t="str">
        <f>Summary!A1</f>
        <v>Assumptions</v>
      </c>
      <c r="M1" s="4"/>
    </row>
    <row r="2" spans="1:13" ht="12.75">
      <c r="A2" s="2" t="str">
        <f>Summary!A2</f>
        <v>Size of Default</v>
      </c>
      <c r="B2" s="27">
        <f>Summary!B2</f>
        <v>20000000</v>
      </c>
      <c r="M2" s="4"/>
    </row>
    <row r="3" spans="2:13" ht="12.75">
      <c r="B3" t="s">
        <v>15</v>
      </c>
      <c r="C3" t="s">
        <v>16</v>
      </c>
      <c r="D3" s="12" t="s">
        <v>60</v>
      </c>
      <c r="M3" s="4"/>
    </row>
    <row r="4" spans="1:13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  <c r="M4"/>
    </row>
    <row r="5" spans="1:13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  <c r="M5"/>
    </row>
    <row r="6" spans="1:13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  <c r="M6"/>
    </row>
    <row r="7" spans="1:13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  <c r="M7"/>
    </row>
    <row r="8" spans="1:13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  <c r="M8"/>
    </row>
    <row r="9" spans="1:13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  <c r="M9"/>
    </row>
    <row r="10" ht="11.25" customHeight="1">
      <c r="M10" s="4"/>
    </row>
    <row r="11" spans="1:14" ht="105" customHeight="1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Approximately Seven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7200000</v>
      </c>
      <c r="M12" s="14">
        <f>'QSE Portfolio'!M2</f>
        <v>10400000</v>
      </c>
      <c r="N12" s="15">
        <f>'QSE Portfolio'!N2</f>
        <v>0.37142857142857144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4200000</v>
      </c>
      <c r="M15" s="14">
        <f>'QSE Portfolio'!M5</f>
        <v>9800000</v>
      </c>
      <c r="N15" s="15">
        <f>'QSE Portfolio'!N5</f>
        <v>0.35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9800000</v>
      </c>
      <c r="M18" s="14">
        <f>'QSE Portfolio'!M8</f>
        <v>17200000</v>
      </c>
      <c r="N18" s="15">
        <f>'QSE Portfolio'!N8</f>
        <v>0.6142857142857143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9800000</v>
      </c>
      <c r="M20" s="14">
        <f>'QSE Portfolio'!M10</f>
        <v>13200000</v>
      </c>
      <c r="N20" s="15">
        <f>'QSE Portfolio'!N10</f>
        <v>0.4714285714285714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6300000</v>
      </c>
      <c r="M23" s="14">
        <f>'QSE Portfolio'!M13</f>
        <v>14200000</v>
      </c>
      <c r="N23" s="15">
        <f>'QSE Portfolio'!N13</f>
        <v>0.5071428571428571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6300000</v>
      </c>
      <c r="M26" s="14">
        <f>'QSE Portfolio'!M16</f>
        <v>14200000</v>
      </c>
      <c r="N26" s="15">
        <f>'QSE Portfolio'!N16</f>
        <v>0.5071428571428571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19000000</v>
      </c>
      <c r="M32" s="14">
        <f>'QSE Portfolio'!M22</f>
        <v>28000000</v>
      </c>
      <c r="N32" s="15">
        <f>'QSE Portfolio'!N22</f>
        <v>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14000000</v>
      </c>
      <c r="M33" s="14">
        <f>'QSE Portfolio'!M23</f>
        <v>28000000</v>
      </c>
      <c r="N33" s="15">
        <f>'QSE Portfolio'!N23</f>
        <v>1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5500000</v>
      </c>
      <c r="M35" s="14">
        <f>'QSE Portfolio'!M25</f>
        <v>6000000</v>
      </c>
      <c r="N35" s="15">
        <f>'QSE Portfolio'!N25</f>
        <v>0.21428571428571427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-3500000</v>
      </c>
      <c r="M36" s="14">
        <f>'QSE Portfolio'!M26</f>
        <v>-6000000</v>
      </c>
      <c r="N36" s="15">
        <f>'QSE Portfolio'!N26</f>
        <v>-0.21428571428571427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9800000</v>
      </c>
      <c r="M41" s="14">
        <f>'QSE Portfolio'!M31</f>
        <v>20200000</v>
      </c>
      <c r="N41" s="15">
        <f>'QSE Portfolio'!N31</f>
        <v>0.7214285714285714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9800000</v>
      </c>
      <c r="M54" s="14">
        <f>'QSE Portfolio'!M44</f>
        <v>13200000</v>
      </c>
      <c r="N54" s="15">
        <f>'QSE Portfolio'!N44</f>
        <v>0.4714285714285714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12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9"/>
    </row>
    <row r="57" spans="1:13" ht="12.75">
      <c r="A57" s="3" t="s">
        <v>48</v>
      </c>
      <c r="B57" s="18">
        <f>B32+B34</f>
        <v>0</v>
      </c>
      <c r="C57" s="18">
        <f aca="true" t="shared" si="0" ref="C57:L57">C32+C34</f>
        <v>0</v>
      </c>
      <c r="D57" s="18">
        <f t="shared" si="0"/>
        <v>0</v>
      </c>
      <c r="E57" s="18">
        <f t="shared" si="0"/>
        <v>1000000</v>
      </c>
      <c r="F57" s="18">
        <f t="shared" si="0"/>
        <v>2000000</v>
      </c>
      <c r="G57" s="18">
        <f t="shared" si="0"/>
        <v>2000000</v>
      </c>
      <c r="H57" s="18">
        <f t="shared" si="0"/>
        <v>2000000</v>
      </c>
      <c r="I57" s="18">
        <f t="shared" si="0"/>
        <v>2000000</v>
      </c>
      <c r="J57" s="18">
        <f t="shared" si="0"/>
        <v>0</v>
      </c>
      <c r="K57" s="18">
        <f t="shared" si="0"/>
        <v>0</v>
      </c>
      <c r="L57" s="18">
        <f t="shared" si="0"/>
        <v>19000000</v>
      </c>
      <c r="M57" s="18"/>
    </row>
    <row r="58" spans="1:13" ht="12.75">
      <c r="A58" s="3" t="s">
        <v>49</v>
      </c>
      <c r="B58" s="18">
        <f>B31+B33</f>
        <v>2000000</v>
      </c>
      <c r="C58" s="18">
        <f aca="true" t="shared" si="1" ref="C58:L58">C31+C33</f>
        <v>2000000</v>
      </c>
      <c r="D58" s="18">
        <f t="shared" si="1"/>
        <v>2000000</v>
      </c>
      <c r="E58" s="18">
        <f t="shared" si="1"/>
        <v>2000000</v>
      </c>
      <c r="F58" s="18">
        <f t="shared" si="1"/>
        <v>2000000</v>
      </c>
      <c r="G58" s="18">
        <f t="shared" si="1"/>
        <v>2000000</v>
      </c>
      <c r="H58" s="18">
        <f t="shared" si="1"/>
        <v>2000000</v>
      </c>
      <c r="I58" s="18">
        <f t="shared" si="1"/>
        <v>0</v>
      </c>
      <c r="J58" s="18">
        <f t="shared" si="1"/>
        <v>0</v>
      </c>
      <c r="K58" s="18">
        <f t="shared" si="1"/>
        <v>0</v>
      </c>
      <c r="L58" s="18">
        <f t="shared" si="1"/>
        <v>14000000</v>
      </c>
      <c r="M58" s="18"/>
    </row>
    <row r="59" spans="1:13" ht="12.75">
      <c r="A59" s="3" t="s">
        <v>118</v>
      </c>
      <c r="B59" s="18">
        <f>B27+B29</f>
        <v>0</v>
      </c>
      <c r="C59" s="18">
        <f aca="true" t="shared" si="2" ref="C59:L59">C27+C29</f>
        <v>0</v>
      </c>
      <c r="D59" s="18">
        <f t="shared" si="2"/>
        <v>0</v>
      </c>
      <c r="E59" s="18">
        <f t="shared" si="2"/>
        <v>0</v>
      </c>
      <c r="F59" s="18">
        <f t="shared" si="2"/>
        <v>0</v>
      </c>
      <c r="G59" s="18">
        <f t="shared" si="2"/>
        <v>0</v>
      </c>
      <c r="H59" s="18">
        <f t="shared" si="2"/>
        <v>0</v>
      </c>
      <c r="I59" s="18">
        <f t="shared" si="2"/>
        <v>2000000</v>
      </c>
      <c r="J59" s="18">
        <f t="shared" si="2"/>
        <v>0</v>
      </c>
      <c r="K59" s="18">
        <f t="shared" si="2"/>
        <v>0</v>
      </c>
      <c r="L59" s="18">
        <f t="shared" si="2"/>
        <v>0</v>
      </c>
      <c r="M59" s="18"/>
    </row>
    <row r="60" spans="1:13" ht="12.75">
      <c r="A60" s="3" t="s">
        <v>119</v>
      </c>
      <c r="B60" s="18">
        <f>B28+B30</f>
        <v>0</v>
      </c>
      <c r="C60" s="18">
        <f aca="true" t="shared" si="3" ref="C60:L60">C28+C30</f>
        <v>2000000</v>
      </c>
      <c r="D60" s="18">
        <f t="shared" si="3"/>
        <v>0</v>
      </c>
      <c r="E60" s="18">
        <f t="shared" si="3"/>
        <v>0</v>
      </c>
      <c r="F60" s="18">
        <f t="shared" si="3"/>
        <v>0</v>
      </c>
      <c r="G60" s="18">
        <f t="shared" si="3"/>
        <v>0</v>
      </c>
      <c r="H60" s="18">
        <f t="shared" si="3"/>
        <v>0</v>
      </c>
      <c r="I60" s="18">
        <f t="shared" si="3"/>
        <v>0</v>
      </c>
      <c r="J60" s="18">
        <f t="shared" si="3"/>
        <v>0</v>
      </c>
      <c r="K60" s="18">
        <f t="shared" si="3"/>
        <v>0</v>
      </c>
      <c r="L60" s="18">
        <f t="shared" si="3"/>
        <v>0</v>
      </c>
      <c r="M60" s="18"/>
    </row>
    <row r="61" spans="1:13" ht="12.75">
      <c r="A61" s="3" t="s">
        <v>120</v>
      </c>
      <c r="B61" s="18">
        <f>B12+B14</f>
        <v>0</v>
      </c>
      <c r="C61" s="18">
        <f aca="true" t="shared" si="4" ref="C61:L61">C12+C14</f>
        <v>0</v>
      </c>
      <c r="D61" s="18">
        <f t="shared" si="4"/>
        <v>0</v>
      </c>
      <c r="E61" s="18">
        <f t="shared" si="4"/>
        <v>0</v>
      </c>
      <c r="F61" s="18">
        <f t="shared" si="4"/>
        <v>2000000</v>
      </c>
      <c r="G61" s="18">
        <f t="shared" si="4"/>
        <v>0</v>
      </c>
      <c r="H61" s="18">
        <f t="shared" si="4"/>
        <v>600000</v>
      </c>
      <c r="I61" s="18">
        <f t="shared" si="4"/>
        <v>600000</v>
      </c>
      <c r="J61" s="18">
        <f t="shared" si="4"/>
        <v>2000000</v>
      </c>
      <c r="K61" s="18">
        <f t="shared" si="4"/>
        <v>0</v>
      </c>
      <c r="L61" s="18">
        <f t="shared" si="4"/>
        <v>7200000</v>
      </c>
      <c r="M61" s="18"/>
    </row>
    <row r="62" spans="1:13" ht="12.75">
      <c r="A62" s="3" t="s">
        <v>121</v>
      </c>
      <c r="B62" s="18">
        <f>B13+B15</f>
        <v>0</v>
      </c>
      <c r="C62" s="18">
        <f aca="true" t="shared" si="5" ref="C62:L62">C13+C15</f>
        <v>0</v>
      </c>
      <c r="D62" s="18">
        <f t="shared" si="5"/>
        <v>2000000</v>
      </c>
      <c r="E62" s="18">
        <f t="shared" si="5"/>
        <v>1000000</v>
      </c>
      <c r="F62" s="18">
        <f t="shared" si="5"/>
        <v>2000000</v>
      </c>
      <c r="G62" s="18">
        <f t="shared" si="5"/>
        <v>0</v>
      </c>
      <c r="H62" s="18">
        <f t="shared" si="5"/>
        <v>600000</v>
      </c>
      <c r="I62" s="18">
        <f t="shared" si="5"/>
        <v>600000</v>
      </c>
      <c r="J62" s="18">
        <f t="shared" si="5"/>
        <v>2000000</v>
      </c>
      <c r="K62" s="18">
        <f t="shared" si="5"/>
        <v>0</v>
      </c>
      <c r="L62" s="18">
        <f t="shared" si="5"/>
        <v>4200000</v>
      </c>
      <c r="M62" s="18"/>
    </row>
    <row r="63" spans="1:13" ht="12.75">
      <c r="A63" s="3" t="s">
        <v>122</v>
      </c>
      <c r="B63" s="18">
        <f>B20+B21</f>
        <v>0</v>
      </c>
      <c r="C63" s="18">
        <f aca="true" t="shared" si="6" ref="C63:L63">C20+C21</f>
        <v>0</v>
      </c>
      <c r="D63" s="18">
        <f t="shared" si="6"/>
        <v>0</v>
      </c>
      <c r="E63" s="18">
        <f t="shared" si="6"/>
        <v>0</v>
      </c>
      <c r="F63" s="18">
        <f t="shared" si="6"/>
        <v>0</v>
      </c>
      <c r="G63" s="18">
        <f t="shared" si="6"/>
        <v>2000000</v>
      </c>
      <c r="H63" s="18">
        <f t="shared" si="6"/>
        <v>1400000</v>
      </c>
      <c r="I63" s="18">
        <f t="shared" si="6"/>
        <v>0</v>
      </c>
      <c r="J63" s="18">
        <f t="shared" si="6"/>
        <v>0</v>
      </c>
      <c r="K63" s="18">
        <f t="shared" si="6"/>
        <v>0</v>
      </c>
      <c r="L63" s="18">
        <f t="shared" si="6"/>
        <v>9800000</v>
      </c>
      <c r="M63" s="18"/>
    </row>
    <row r="64" spans="1:13" ht="12.75">
      <c r="A64" s="3" t="s">
        <v>125</v>
      </c>
      <c r="B64" s="18">
        <f>B16+B17+B18+B19+B52+B53+B37+B38+B39+B40</f>
        <v>0</v>
      </c>
      <c r="C64" s="18">
        <f aca="true" t="shared" si="7" ref="C64:L64">C16+C17+C18+C19+C52+C53+C37+C38+C39+C40</f>
        <v>0</v>
      </c>
      <c r="D64" s="18">
        <f t="shared" si="7"/>
        <v>0</v>
      </c>
      <c r="E64" s="18">
        <f t="shared" si="7"/>
        <v>0</v>
      </c>
      <c r="F64" s="18">
        <f t="shared" si="7"/>
        <v>2000000</v>
      </c>
      <c r="G64" s="18">
        <f t="shared" si="7"/>
        <v>2000000</v>
      </c>
      <c r="H64" s="18">
        <f t="shared" si="7"/>
        <v>1400000</v>
      </c>
      <c r="I64" s="18">
        <f t="shared" si="7"/>
        <v>0</v>
      </c>
      <c r="J64" s="18">
        <f t="shared" si="7"/>
        <v>2000000</v>
      </c>
      <c r="K64" s="18">
        <f t="shared" si="7"/>
        <v>2000000</v>
      </c>
      <c r="L64" s="18">
        <f t="shared" si="7"/>
        <v>9800000</v>
      </c>
      <c r="M64" s="18"/>
    </row>
    <row r="65" spans="1:13" ht="12.75">
      <c r="A65" s="3" t="s">
        <v>123</v>
      </c>
      <c r="B65" s="18">
        <f>SUM(B41:B44)</f>
        <v>0</v>
      </c>
      <c r="C65" s="18">
        <f aca="true" t="shared" si="8" ref="C65:L65">SUM(C41:C44)</f>
        <v>0</v>
      </c>
      <c r="D65" s="18">
        <f t="shared" si="8"/>
        <v>0</v>
      </c>
      <c r="E65" s="18">
        <f t="shared" si="8"/>
        <v>1000000</v>
      </c>
      <c r="F65" s="18">
        <f t="shared" si="8"/>
        <v>2000000</v>
      </c>
      <c r="G65" s="18">
        <f t="shared" si="8"/>
        <v>2000000</v>
      </c>
      <c r="H65" s="18">
        <f t="shared" si="8"/>
        <v>1400000</v>
      </c>
      <c r="I65" s="18">
        <f t="shared" si="8"/>
        <v>0</v>
      </c>
      <c r="J65" s="18">
        <f t="shared" si="8"/>
        <v>2000000</v>
      </c>
      <c r="K65" s="18">
        <f t="shared" si="8"/>
        <v>2000000</v>
      </c>
      <c r="L65" s="18">
        <f t="shared" si="8"/>
        <v>9800000</v>
      </c>
      <c r="M65" s="18"/>
    </row>
    <row r="66" spans="1:13" ht="12.75">
      <c r="A66" s="3" t="s">
        <v>124</v>
      </c>
      <c r="B66" s="18">
        <f>MAX(B57,B58,B59,B60,B61,B62,B63,B64,B65)</f>
        <v>2000000</v>
      </c>
      <c r="C66" s="18">
        <f aca="true" t="shared" si="9" ref="C66:L66">MAX(C57,C58,C59,C60,C61,C62,C63,C64,C65)</f>
        <v>2000000</v>
      </c>
      <c r="D66" s="18">
        <f t="shared" si="9"/>
        <v>2000000</v>
      </c>
      <c r="E66" s="18">
        <f t="shared" si="9"/>
        <v>2000000</v>
      </c>
      <c r="F66" s="18">
        <f t="shared" si="9"/>
        <v>2000000</v>
      </c>
      <c r="G66" s="18">
        <f t="shared" si="9"/>
        <v>2000000</v>
      </c>
      <c r="H66" s="18">
        <f t="shared" si="9"/>
        <v>2000000</v>
      </c>
      <c r="I66" s="18">
        <f t="shared" si="9"/>
        <v>2000000</v>
      </c>
      <c r="J66" s="18">
        <f t="shared" si="9"/>
        <v>2000000</v>
      </c>
      <c r="K66" s="18">
        <f t="shared" si="9"/>
        <v>2000000</v>
      </c>
      <c r="L66" s="18">
        <f t="shared" si="9"/>
        <v>19000000</v>
      </c>
      <c r="M66" s="18">
        <f>SUM(B66:L66)</f>
        <v>39000000</v>
      </c>
    </row>
    <row r="67" ht="12.75">
      <c r="M67"/>
    </row>
    <row r="68" spans="1:13" ht="12.75">
      <c r="A68" s="3" t="s">
        <v>126</v>
      </c>
      <c r="B68" s="18">
        <f>B66</f>
        <v>2000000</v>
      </c>
      <c r="C68" s="18">
        <f aca="true" t="shared" si="10" ref="C68:M68">C66</f>
        <v>2000000</v>
      </c>
      <c r="D68" s="18">
        <f t="shared" si="10"/>
        <v>2000000</v>
      </c>
      <c r="E68" s="18">
        <f t="shared" si="10"/>
        <v>2000000</v>
      </c>
      <c r="F68" s="18">
        <f t="shared" si="10"/>
        <v>2000000</v>
      </c>
      <c r="G68" s="18">
        <f t="shared" si="10"/>
        <v>2000000</v>
      </c>
      <c r="H68" s="18">
        <f t="shared" si="10"/>
        <v>2000000</v>
      </c>
      <c r="I68" s="18">
        <f t="shared" si="10"/>
        <v>2000000</v>
      </c>
      <c r="J68" s="18">
        <f t="shared" si="10"/>
        <v>2000000</v>
      </c>
      <c r="K68" s="18">
        <f t="shared" si="10"/>
        <v>2000000</v>
      </c>
      <c r="L68" s="18">
        <f t="shared" si="10"/>
        <v>19000000</v>
      </c>
      <c r="M68" s="18">
        <f t="shared" si="10"/>
        <v>39000000</v>
      </c>
    </row>
    <row r="69" spans="1:13" ht="12.75">
      <c r="A69" s="3" t="s">
        <v>127</v>
      </c>
      <c r="B69" s="29">
        <f aca="true" t="shared" si="11" ref="B69:L69">B68/$M$68</f>
        <v>0.05128205128205128</v>
      </c>
      <c r="C69" s="29">
        <f t="shared" si="11"/>
        <v>0.05128205128205128</v>
      </c>
      <c r="D69" s="29">
        <f t="shared" si="11"/>
        <v>0.05128205128205128</v>
      </c>
      <c r="E69" s="29">
        <f t="shared" si="11"/>
        <v>0.05128205128205128</v>
      </c>
      <c r="F69" s="29">
        <f t="shared" si="11"/>
        <v>0.05128205128205128</v>
      </c>
      <c r="G69" s="29">
        <f t="shared" si="11"/>
        <v>0.05128205128205128</v>
      </c>
      <c r="H69" s="29">
        <f t="shared" si="11"/>
        <v>0.05128205128205128</v>
      </c>
      <c r="I69" s="29">
        <f t="shared" si="11"/>
        <v>0.05128205128205128</v>
      </c>
      <c r="J69" s="29">
        <f t="shared" si="11"/>
        <v>0.05128205128205128</v>
      </c>
      <c r="K69" s="29">
        <f t="shared" si="11"/>
        <v>0.05128205128205128</v>
      </c>
      <c r="L69" s="29">
        <f t="shared" si="11"/>
        <v>0.48717948717948717</v>
      </c>
      <c r="M69" s="29">
        <f>M68/$M$68</f>
        <v>1</v>
      </c>
    </row>
    <row r="70" spans="1:13" ht="12.75">
      <c r="A70" s="3" t="s">
        <v>128</v>
      </c>
      <c r="B70" s="20">
        <f>$B$2*B69</f>
        <v>1025641.0256410256</v>
      </c>
      <c r="C70" s="20">
        <f aca="true" t="shared" si="12" ref="C70:M70">$B$2*C69</f>
        <v>1025641.0256410256</v>
      </c>
      <c r="D70" s="20">
        <f t="shared" si="12"/>
        <v>1025641.0256410256</v>
      </c>
      <c r="E70" s="20">
        <f t="shared" si="12"/>
        <v>1025641.0256410256</v>
      </c>
      <c r="F70" s="20">
        <f t="shared" si="12"/>
        <v>1025641.0256410256</v>
      </c>
      <c r="G70" s="20">
        <f t="shared" si="12"/>
        <v>1025641.0256410256</v>
      </c>
      <c r="H70" s="20">
        <f t="shared" si="12"/>
        <v>1025641.0256410256</v>
      </c>
      <c r="I70" s="20">
        <f t="shared" si="12"/>
        <v>1025641.0256410256</v>
      </c>
      <c r="J70" s="20">
        <f t="shared" si="12"/>
        <v>1025641.0256410256</v>
      </c>
      <c r="K70" s="20">
        <f t="shared" si="12"/>
        <v>1025641.0256410256</v>
      </c>
      <c r="L70" s="20">
        <f t="shared" si="12"/>
        <v>9743589.743589744</v>
      </c>
      <c r="M70" s="20">
        <f t="shared" si="12"/>
        <v>20000000</v>
      </c>
    </row>
  </sheetData>
  <sheetProtection password="83AF" sheet="1" objects="1" scenarios="1"/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klandry</cp:lastModifiedBy>
  <dcterms:created xsi:type="dcterms:W3CDTF">2009-09-28T20:32:38Z</dcterms:created>
  <dcterms:modified xsi:type="dcterms:W3CDTF">2009-10-23T19:00:07Z</dcterms:modified>
  <cp:category/>
  <cp:version/>
  <cp:contentType/>
  <cp:contentStatus/>
</cp:coreProperties>
</file>