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30" windowWidth="18915" windowHeight="7530" activeTab="1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<sst xmlns="http://schemas.openxmlformats.org/spreadsheetml/2006/main" count="215" uniqueCount="81">
  <si>
    <t>Transmission Loss is from 60 kV or higher reporting only</t>
  </si>
  <si>
    <t>NOIE INTERNAL refers to generation, load and losses behind NOIE meters</t>
  </si>
  <si>
    <t>ERCOT TOTAL</t>
  </si>
  <si>
    <t>AEN NOIE INTERNAL TOTAL</t>
  </si>
  <si>
    <t>CPS NOIE INTERNAL TOTAL</t>
  </si>
  <si>
    <t>COG NOIE INTERNAL TOTAL</t>
  </si>
  <si>
    <t>GEUS NOIE INTERNAL TOTAL</t>
  </si>
  <si>
    <t>COD NOIE INTERNAL TOTAL</t>
  </si>
  <si>
    <t>BTU NOIE INTERNAL TOTAL</t>
  </si>
  <si>
    <t>COCS NOIE INTERNAL TOTAL</t>
  </si>
  <si>
    <t>Case Type</t>
  </si>
  <si>
    <t>Base Case Name</t>
  </si>
  <si>
    <t>Base Case Generation MW</t>
  </si>
  <si>
    <t>Base Case Load MW</t>
  </si>
  <si>
    <t xml:space="preserve">Base Case Loss above 60 kV </t>
  </si>
  <si>
    <t>Total Base Case Loss MW</t>
  </si>
  <si>
    <t>Base Case Loss above 60 kV MW</t>
  </si>
  <si>
    <t>External (load+loss-gen)</t>
  </si>
  <si>
    <t>Spring On Peak</t>
  </si>
  <si>
    <t>Spring Off Peak</t>
  </si>
  <si>
    <t>Summer On Peak</t>
  </si>
  <si>
    <t>Summer Off Peak</t>
  </si>
  <si>
    <t>Fall On Peak</t>
  </si>
  <si>
    <t>Fall Off Peak</t>
  </si>
  <si>
    <t>Winter On Peak</t>
  </si>
  <si>
    <t>Winter Off Peak</t>
  </si>
  <si>
    <t>Self Serve Load Modeled in Base Cases that does not contribute to transmission losses.</t>
  </si>
  <si>
    <t>NOIE TOTALS</t>
  </si>
  <si>
    <t>AEP Self Serve MW</t>
  </si>
  <si>
    <t>TOTAL</t>
  </si>
  <si>
    <t>NOIE LOAD MW</t>
  </si>
  <si>
    <t>NOIE External Resources MW</t>
  </si>
  <si>
    <t>NOIE Load Served from Internal Resources MW</t>
  </si>
  <si>
    <t>NOIE TOTAL Loss Above 60 kV</t>
  </si>
  <si>
    <t>SEASON</t>
  </si>
  <si>
    <t>ERCOT WITH SELF SERVE, MODEL &amp; NOIE INTERNAL LOAD CORRECTIONS</t>
  </si>
  <si>
    <t>AEN NOIE INTERNAL</t>
  </si>
  <si>
    <t>CPS NOIE INTERNAL</t>
  </si>
  <si>
    <t>COG NOIE INTERNAL</t>
  </si>
  <si>
    <t>GEUS NOIE INTERNAL</t>
  </si>
  <si>
    <t>COD NOIE INTERNAL</t>
  </si>
  <si>
    <t>BTU NOIE INTERNAL</t>
  </si>
  <si>
    <t>COCS NOIE INTERNAL</t>
  </si>
  <si>
    <t>SONL</t>
  </si>
  <si>
    <t>SOFFL</t>
  </si>
  <si>
    <t>SONLF</t>
  </si>
  <si>
    <t>SOFFLF</t>
  </si>
  <si>
    <t>SPRING</t>
  </si>
  <si>
    <t>SUMMER</t>
  </si>
  <si>
    <t>FALL</t>
  </si>
  <si>
    <t>WINTER</t>
  </si>
  <si>
    <t>TRANSMISSION LOSS FACTORS FOR INSTALLATION IN ERCOT SYSTEMS IN RED BOXES</t>
  </si>
  <si>
    <t>For Testing Only</t>
  </si>
  <si>
    <t>SSC</t>
  </si>
  <si>
    <t>SIC</t>
  </si>
  <si>
    <t>ERCOT WITH SELF SERVE  LOAD CORRECTIONS</t>
  </si>
  <si>
    <t>BTU Self Serve MW</t>
  </si>
  <si>
    <t>CNP Self Serve MW</t>
  </si>
  <si>
    <t>AEP DC Ties Model MW</t>
  </si>
  <si>
    <t>TLF = Transmission Loss Factor</t>
  </si>
  <si>
    <t>SIEL = Settlement Interval ERCOT system Load</t>
  </si>
  <si>
    <t>SSC = Seasonal Slope Coefficient = (SONLF - SOFFLF)/(SONL - SOFFL)</t>
  </si>
  <si>
    <t>SIC = Seasonal Intercept Coefficient = [(SOFFLF * SONL) - (SONLF * SOFFL)]/(SONL - SOFFL)</t>
  </si>
  <si>
    <t>SONLF = Seasonal on-peak percent loss factor</t>
  </si>
  <si>
    <t>SOFFLF = Seasonal off-peak percent loss factor</t>
  </si>
  <si>
    <t>SONL = Seasonal on-peak Load value</t>
  </si>
  <si>
    <t>SOFFL = Seasonal off-peak Load value</t>
  </si>
  <si>
    <t>09SPG1</t>
  </si>
  <si>
    <t>09SPG2</t>
  </si>
  <si>
    <t>09SUM1</t>
  </si>
  <si>
    <t>09SUM2</t>
  </si>
  <si>
    <t>09FAL1</t>
  </si>
  <si>
    <t>09FAL2</t>
  </si>
  <si>
    <t>10WIN1</t>
  </si>
  <si>
    <t>10WIN2</t>
  </si>
  <si>
    <t>Data from Seasonal SSWG Base Cases Updated with updates received by 9/10/08</t>
  </si>
  <si>
    <t>ONCOR Self Serve MW</t>
  </si>
  <si>
    <t>TNMP Self Serve MW</t>
  </si>
  <si>
    <t>BPUB NOIE INTERNAL TOTAL</t>
  </si>
  <si>
    <t>BPUB NOIE INTERNAL</t>
  </si>
  <si>
    <t>TRANSMISSION LOSS FACTORS for 2009 as of 11/06/2008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</si>
</sst>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00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4">
    <font>
      <sz val="10"/>
      <name val="Arial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7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0"/>
      <color indexed="10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vertical="center" wrapText="1"/>
    </xf>
    <xf numFmtId="2" fontId="0" fillId="0" borderId="14" xfId="0" applyNumberForma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4" fillId="0" borderId="5" xfId="0" applyFont="1" applyBorder="1" applyAlignment="1">
      <alignment horizontal="centerContinuous" vertical="center" wrapText="1"/>
    </xf>
    <xf numFmtId="0" fontId="0" fillId="0" borderId="6" xfId="0" applyFont="1" applyBorder="1" applyAlignment="1">
      <alignment horizontal="centerContinuous" vertical="center"/>
    </xf>
    <xf numFmtId="0" fontId="0" fillId="0" borderId="7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2" fontId="4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0" fontId="4" fillId="0" borderId="2" xfId="0" applyNumberFormat="1" applyFont="1" applyBorder="1" applyAlignment="1">
      <alignment horizontal="center"/>
    </xf>
    <xf numFmtId="10" fontId="4" fillId="0" borderId="3" xfId="0" applyNumberFormat="1" applyFont="1" applyBorder="1" applyAlignment="1">
      <alignment horizontal="center"/>
    </xf>
    <xf numFmtId="10" fontId="4" fillId="0" borderId="8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2" fontId="4" fillId="0" borderId="8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10" fontId="4" fillId="0" borderId="9" xfId="0" applyNumberFormat="1" applyFont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Fill="1" applyBorder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0" fontId="4" fillId="0" borderId="11" xfId="0" applyNumberFormat="1" applyFont="1" applyBorder="1" applyAlignment="1">
      <alignment horizontal="center"/>
    </xf>
    <xf numFmtId="10" fontId="4" fillId="0" borderId="12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21" xfId="0" applyFont="1" applyBorder="1" applyAlignment="1">
      <alignment horizontal="centerContinuous" vertical="center" wrapText="1"/>
    </xf>
    <xf numFmtId="0" fontId="0" fillId="0" borderId="22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Continuous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4" fillId="0" borderId="25" xfId="0" applyFont="1" applyFill="1" applyBorder="1" applyAlignment="1">
      <alignment/>
    </xf>
    <xf numFmtId="165" fontId="0" fillId="0" borderId="23" xfId="0" applyNumberFormat="1" applyFont="1" applyBorder="1" applyAlignment="1">
      <alignment horizontal="center" vertical="center" wrapText="1"/>
    </xf>
    <xf numFmtId="165" fontId="0" fillId="0" borderId="24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65" fontId="0" fillId="0" borderId="27" xfId="0" applyNumberFormat="1" applyFont="1" applyBorder="1" applyAlignment="1">
      <alignment horizontal="center" vertical="center" wrapText="1"/>
    </xf>
    <xf numFmtId="165" fontId="0" fillId="0" borderId="28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7" xfId="0" applyBorder="1" applyAlignment="1">
      <alignment/>
    </xf>
    <xf numFmtId="165" fontId="9" fillId="0" borderId="0" xfId="0" applyNumberFormat="1" applyFont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horizontal="center"/>
    </xf>
    <xf numFmtId="2" fontId="12" fillId="2" borderId="11" xfId="0" applyNumberFormat="1" applyFont="1" applyFill="1" applyBorder="1" applyAlignment="1">
      <alignment horizontal="center"/>
    </xf>
    <xf numFmtId="2" fontId="13" fillId="2" borderId="0" xfId="0" applyNumberFormat="1" applyFont="1" applyFill="1" applyBorder="1" applyAlignment="1" quotePrefix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8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2" fontId="12" fillId="2" borderId="9" xfId="0" applyNumberFormat="1" applyFont="1" applyFill="1" applyBorder="1" applyAlignment="1">
      <alignment horizontal="center"/>
    </xf>
    <xf numFmtId="2" fontId="12" fillId="2" borderId="1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2" fontId="12" fillId="2" borderId="2" xfId="0" applyNumberFormat="1" applyFont="1" applyFill="1" applyBorder="1" applyAlignment="1">
      <alignment horizontal="center"/>
    </xf>
    <xf numFmtId="2" fontId="13" fillId="2" borderId="2" xfId="0" applyNumberFormat="1" applyFont="1" applyFill="1" applyBorder="1" applyAlignment="1" quotePrefix="1">
      <alignment horizontal="center"/>
    </xf>
    <xf numFmtId="2" fontId="12" fillId="2" borderId="3" xfId="0" applyNumberFormat="1" applyFont="1" applyFill="1" applyBorder="1" applyAlignment="1">
      <alignment horizontal="center"/>
    </xf>
    <xf numFmtId="2" fontId="13" fillId="2" borderId="11" xfId="0" applyNumberFormat="1" applyFont="1" applyFill="1" applyBorder="1" applyAlignment="1" quotePrefix="1">
      <alignment horizontal="center"/>
    </xf>
    <xf numFmtId="0" fontId="4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A16"/>
  <sheetViews>
    <sheetView workbookViewId="0" topLeftCell="A1">
      <selection activeCell="C6" sqref="C6"/>
    </sheetView>
  </sheetViews>
  <sheetFormatPr defaultColWidth="9.140625" defaultRowHeight="12.75"/>
  <cols>
    <col min="1" max="16384" width="9.140625" style="137" customWidth="1"/>
  </cols>
  <sheetData>
    <row r="9" ht="12.75">
      <c r="A9" s="137" t="s">
        <v>59</v>
      </c>
    </row>
    <row r="10" ht="12.75">
      <c r="A10" s="137" t="s">
        <v>60</v>
      </c>
    </row>
    <row r="11" ht="12.75">
      <c r="A11" s="137" t="s">
        <v>61</v>
      </c>
    </row>
    <row r="12" ht="12.75">
      <c r="A12" s="137" t="s">
        <v>62</v>
      </c>
    </row>
    <row r="13" ht="12.75">
      <c r="A13" s="137" t="s">
        <v>63</v>
      </c>
    </row>
    <row r="14" ht="12.75">
      <c r="A14" s="137" t="s">
        <v>64</v>
      </c>
    </row>
    <row r="15" ht="12.75">
      <c r="A15" s="137" t="s">
        <v>65</v>
      </c>
    </row>
    <row r="16" ht="12.75">
      <c r="A16" s="137" t="s">
        <v>66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2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19.8515625" style="0" customWidth="1"/>
    <col min="2" max="2" width="13.00390625" style="0" customWidth="1"/>
    <col min="3" max="3" width="13.140625" style="0" customWidth="1"/>
    <col min="4" max="5" width="11.7109375" style="0" customWidth="1"/>
    <col min="6" max="7" width="13.00390625" style="0" customWidth="1"/>
    <col min="8" max="8" width="12.7109375" style="0" customWidth="1"/>
    <col min="9" max="10" width="11.7109375" style="0" customWidth="1"/>
    <col min="11" max="11" width="12.421875" style="0" customWidth="1"/>
    <col min="12" max="12" width="13.140625" style="0" customWidth="1"/>
    <col min="13" max="13" width="12.8515625" style="0" customWidth="1"/>
    <col min="14" max="16" width="11.7109375" style="0" customWidth="1"/>
    <col min="17" max="17" width="13.57421875" style="0" customWidth="1"/>
    <col min="18" max="18" width="13.421875" style="0" customWidth="1"/>
    <col min="19" max="19" width="13.57421875" style="0" customWidth="1"/>
    <col min="20" max="21" width="11.7109375" style="0" customWidth="1"/>
    <col min="22" max="22" width="12.8515625" style="0" customWidth="1"/>
    <col min="23" max="23" width="14.28125" style="0" customWidth="1"/>
    <col min="24" max="26" width="11.7109375" style="0" customWidth="1"/>
    <col min="27" max="27" width="12.7109375" style="0" customWidth="1"/>
    <col min="28" max="28" width="13.421875" style="0" customWidth="1"/>
    <col min="29" max="29" width="11.7109375" style="0" customWidth="1"/>
    <col min="30" max="30" width="13.28125" style="0" customWidth="1"/>
    <col min="31" max="31" width="12.421875" style="0" customWidth="1"/>
    <col min="32" max="33" width="12.8515625" style="0" customWidth="1"/>
    <col min="34" max="34" width="13.00390625" style="0" customWidth="1"/>
    <col min="35" max="36" width="11.7109375" style="0" customWidth="1"/>
    <col min="37" max="37" width="12.8515625" style="0" customWidth="1"/>
    <col min="38" max="38" width="12.28125" style="0" customWidth="1"/>
    <col min="39" max="39" width="12.7109375" style="0" customWidth="1"/>
    <col min="40" max="41" width="11.7109375" style="0" customWidth="1"/>
    <col min="42" max="42" width="12.8515625" style="0" customWidth="1"/>
    <col min="43" max="43" width="13.28125" style="0" bestFit="1" customWidth="1"/>
    <col min="44" max="44" width="11.7109375" style="0" customWidth="1"/>
    <col min="45" max="45" width="12.421875" style="0" customWidth="1"/>
    <col min="46" max="46" width="11.7109375" style="0" customWidth="1"/>
  </cols>
  <sheetData>
    <row r="1" ht="15.75">
      <c r="A1" s="1" t="s">
        <v>80</v>
      </c>
    </row>
    <row r="3" spans="1:5" ht="15.75">
      <c r="A3" s="2" t="s">
        <v>75</v>
      </c>
      <c r="B3" s="3"/>
      <c r="C3" s="3"/>
      <c r="D3" s="3"/>
      <c r="E3" s="3"/>
    </row>
    <row r="4" spans="1:5" ht="15.75">
      <c r="A4" s="2" t="s">
        <v>0</v>
      </c>
      <c r="B4" s="3"/>
      <c r="C4" s="3"/>
      <c r="D4" s="3"/>
      <c r="E4" s="3"/>
    </row>
    <row r="5" spans="1:5" ht="15.75">
      <c r="A5" s="2" t="s">
        <v>1</v>
      </c>
      <c r="B5" s="3"/>
      <c r="C5" s="3"/>
      <c r="D5" s="3"/>
      <c r="E5" s="3"/>
    </row>
    <row r="6" spans="2:46" ht="12.75">
      <c r="B6" s="4"/>
      <c r="C6" s="5" t="s">
        <v>2</v>
      </c>
      <c r="D6" s="6"/>
      <c r="E6" s="6"/>
      <c r="F6" s="7"/>
      <c r="G6" s="5" t="s">
        <v>3</v>
      </c>
      <c r="H6" s="6"/>
      <c r="I6" s="6"/>
      <c r="J6" s="6"/>
      <c r="K6" s="7"/>
      <c r="L6" s="5" t="s">
        <v>4</v>
      </c>
      <c r="M6" s="6"/>
      <c r="N6" s="6"/>
      <c r="O6" s="6"/>
      <c r="P6" s="7"/>
      <c r="Q6" s="5" t="s">
        <v>5</v>
      </c>
      <c r="R6" s="6"/>
      <c r="S6" s="6"/>
      <c r="T6" s="6"/>
      <c r="U6" s="7"/>
      <c r="V6" s="5" t="s">
        <v>6</v>
      </c>
      <c r="W6" s="6"/>
      <c r="X6" s="6"/>
      <c r="Y6" s="8"/>
      <c r="Z6" s="9"/>
      <c r="AA6" s="5" t="s">
        <v>7</v>
      </c>
      <c r="AB6" s="6"/>
      <c r="AC6" s="6"/>
      <c r="AD6" s="8"/>
      <c r="AE6" s="9"/>
      <c r="AF6" s="5" t="s">
        <v>78</v>
      </c>
      <c r="AG6" s="6"/>
      <c r="AH6" s="6"/>
      <c r="AI6" s="8"/>
      <c r="AJ6" s="9"/>
      <c r="AK6" s="5" t="s">
        <v>8</v>
      </c>
      <c r="AL6" s="6"/>
      <c r="AM6" s="6"/>
      <c r="AN6" s="8"/>
      <c r="AO6" s="9"/>
      <c r="AP6" s="5" t="s">
        <v>9</v>
      </c>
      <c r="AQ6" s="6"/>
      <c r="AR6" s="6"/>
      <c r="AS6" s="8"/>
      <c r="AT6" s="9"/>
    </row>
    <row r="7" spans="1:46" ht="38.25">
      <c r="A7" s="10" t="s">
        <v>10</v>
      </c>
      <c r="B7" s="11" t="s">
        <v>11</v>
      </c>
      <c r="C7" s="11" t="s">
        <v>12</v>
      </c>
      <c r="D7" s="12" t="s">
        <v>13</v>
      </c>
      <c r="E7" s="12" t="s">
        <v>14</v>
      </c>
      <c r="F7" s="13" t="s">
        <v>15</v>
      </c>
      <c r="G7" s="11" t="s">
        <v>12</v>
      </c>
      <c r="H7" s="12" t="s">
        <v>13</v>
      </c>
      <c r="I7" s="12" t="s">
        <v>16</v>
      </c>
      <c r="J7" s="12" t="s">
        <v>15</v>
      </c>
      <c r="K7" s="13" t="s">
        <v>17</v>
      </c>
      <c r="L7" s="11" t="s">
        <v>12</v>
      </c>
      <c r="M7" s="12" t="s">
        <v>13</v>
      </c>
      <c r="N7" s="12" t="s">
        <v>16</v>
      </c>
      <c r="O7" s="12" t="s">
        <v>15</v>
      </c>
      <c r="P7" s="13" t="s">
        <v>17</v>
      </c>
      <c r="Q7" s="11" t="s">
        <v>12</v>
      </c>
      <c r="R7" s="12" t="s">
        <v>13</v>
      </c>
      <c r="S7" s="12" t="s">
        <v>16</v>
      </c>
      <c r="T7" s="12" t="s">
        <v>15</v>
      </c>
      <c r="U7" s="13" t="s">
        <v>17</v>
      </c>
      <c r="V7" s="11" t="s">
        <v>12</v>
      </c>
      <c r="W7" s="12" t="s">
        <v>13</v>
      </c>
      <c r="X7" s="12" t="s">
        <v>16</v>
      </c>
      <c r="Y7" s="12" t="s">
        <v>15</v>
      </c>
      <c r="Z7" s="13" t="s">
        <v>17</v>
      </c>
      <c r="AA7" s="11" t="s">
        <v>12</v>
      </c>
      <c r="AB7" s="12" t="s">
        <v>13</v>
      </c>
      <c r="AC7" s="12" t="s">
        <v>16</v>
      </c>
      <c r="AD7" s="12" t="s">
        <v>15</v>
      </c>
      <c r="AE7" s="13" t="s">
        <v>17</v>
      </c>
      <c r="AF7" s="11" t="s">
        <v>12</v>
      </c>
      <c r="AG7" s="12" t="s">
        <v>13</v>
      </c>
      <c r="AH7" s="12" t="s">
        <v>16</v>
      </c>
      <c r="AI7" s="12" t="s">
        <v>15</v>
      </c>
      <c r="AJ7" s="13" t="s">
        <v>17</v>
      </c>
      <c r="AK7" s="11" t="s">
        <v>12</v>
      </c>
      <c r="AL7" s="12" t="s">
        <v>13</v>
      </c>
      <c r="AM7" s="12" t="s">
        <v>16</v>
      </c>
      <c r="AN7" s="12" t="s">
        <v>15</v>
      </c>
      <c r="AO7" s="13" t="s">
        <v>17</v>
      </c>
      <c r="AP7" s="11" t="s">
        <v>12</v>
      </c>
      <c r="AQ7" s="12" t="s">
        <v>13</v>
      </c>
      <c r="AR7" s="12" t="s">
        <v>16</v>
      </c>
      <c r="AS7" s="12" t="s">
        <v>15</v>
      </c>
      <c r="AT7" s="13" t="s">
        <v>17</v>
      </c>
    </row>
    <row r="8" spans="1:46" s="122" customFormat="1" ht="12.75">
      <c r="A8" s="118" t="s">
        <v>18</v>
      </c>
      <c r="B8" s="119" t="s">
        <v>67</v>
      </c>
      <c r="C8" s="125">
        <v>62115.4</v>
      </c>
      <c r="D8" s="126">
        <v>60708.1</v>
      </c>
      <c r="E8" s="131">
        <f>1314.61-0.62</f>
        <v>1313.99</v>
      </c>
      <c r="F8" s="132">
        <f>1407.33-0.62-0.6</f>
        <v>1406.1100000000001</v>
      </c>
      <c r="G8" s="125">
        <v>1225</v>
      </c>
      <c r="H8" s="126">
        <v>2261.7</v>
      </c>
      <c r="I8" s="126">
        <f>45.46+6.09</f>
        <v>51.55</v>
      </c>
      <c r="J8" s="126">
        <f>48.56+6.09</f>
        <v>54.650000000000006</v>
      </c>
      <c r="K8" s="121">
        <f>-G8+H8+J8</f>
        <v>1091.35</v>
      </c>
      <c r="L8" s="125">
        <v>2058.8</v>
      </c>
      <c r="M8" s="126">
        <v>4066.7</v>
      </c>
      <c r="N8" s="126">
        <v>22.43</v>
      </c>
      <c r="O8" s="126">
        <v>25.39</v>
      </c>
      <c r="P8" s="121">
        <f>-L8+M8+O8</f>
        <v>2033.2899999999997</v>
      </c>
      <c r="Q8" s="125">
        <v>90.6</v>
      </c>
      <c r="R8" s="126">
        <v>293.2</v>
      </c>
      <c r="S8" s="126">
        <v>2.38</v>
      </c>
      <c r="T8" s="126">
        <v>2.38</v>
      </c>
      <c r="U8" s="121">
        <f>-Q8+R8+T8</f>
        <v>204.98</v>
      </c>
      <c r="V8" s="125">
        <v>23</v>
      </c>
      <c r="W8" s="126">
        <v>67.5</v>
      </c>
      <c r="X8" s="126">
        <v>0.15</v>
      </c>
      <c r="Y8" s="126">
        <v>0.15</v>
      </c>
      <c r="Z8" s="121">
        <f>-V8+W8+Y8</f>
        <v>44.65</v>
      </c>
      <c r="AA8" s="125">
        <v>0</v>
      </c>
      <c r="AB8" s="126">
        <v>300.6</v>
      </c>
      <c r="AC8" s="126">
        <v>2.23</v>
      </c>
      <c r="AD8" s="126">
        <v>2.23</v>
      </c>
      <c r="AE8" s="121">
        <f>-AA8+AB8+AD8</f>
        <v>302.83000000000004</v>
      </c>
      <c r="AF8" s="125">
        <v>43</v>
      </c>
      <c r="AG8" s="126">
        <v>236</v>
      </c>
      <c r="AH8" s="126">
        <v>0.26</v>
      </c>
      <c r="AI8" s="126">
        <v>0.26</v>
      </c>
      <c r="AJ8" s="121">
        <f>-AF8+AG8+AI8</f>
        <v>193.26</v>
      </c>
      <c r="AK8" s="125">
        <v>25.6</v>
      </c>
      <c r="AL8" s="126">
        <v>341.7</v>
      </c>
      <c r="AM8" s="126">
        <v>3.02</v>
      </c>
      <c r="AN8" s="126">
        <v>3.13</v>
      </c>
      <c r="AO8" s="121">
        <f>-AK8+AL8+AN8</f>
        <v>319.22999999999996</v>
      </c>
      <c r="AP8" s="125">
        <v>0</v>
      </c>
      <c r="AQ8" s="126">
        <v>134.9</v>
      </c>
      <c r="AR8" s="126">
        <v>0.09</v>
      </c>
      <c r="AS8" s="126">
        <v>0.09</v>
      </c>
      <c r="AT8" s="121">
        <f>-AP8+AQ8+AS8</f>
        <v>134.99</v>
      </c>
    </row>
    <row r="9" spans="1:46" s="117" customFormat="1" ht="12.75">
      <c r="A9" s="123" t="s">
        <v>19</v>
      </c>
      <c r="B9" s="124" t="s">
        <v>68</v>
      </c>
      <c r="C9" s="127">
        <v>38840.9</v>
      </c>
      <c r="D9" s="131">
        <v>38048.8</v>
      </c>
      <c r="E9" s="131">
        <f>739.77-0.63</f>
        <v>739.14</v>
      </c>
      <c r="F9" s="132">
        <f>792.17-0.63-0.3</f>
        <v>791.24</v>
      </c>
      <c r="G9" s="127">
        <v>601</v>
      </c>
      <c r="H9" s="128">
        <v>1200</v>
      </c>
      <c r="I9" s="128">
        <f>20.74+9.81</f>
        <v>30.549999999999997</v>
      </c>
      <c r="J9" s="128">
        <f>21.93+9.81</f>
        <v>31.740000000000002</v>
      </c>
      <c r="K9" s="120">
        <f>-G9+H9+J9</f>
        <v>630.74</v>
      </c>
      <c r="L9" s="127">
        <v>1740</v>
      </c>
      <c r="M9" s="128">
        <v>2108.1</v>
      </c>
      <c r="N9" s="128">
        <v>9.94</v>
      </c>
      <c r="O9" s="128">
        <v>12.33</v>
      </c>
      <c r="P9" s="120">
        <f aca="true" t="shared" si="0" ref="P9:P15">-L9+M9+O9</f>
        <v>380.4299999999999</v>
      </c>
      <c r="Q9" s="127">
        <v>62.7</v>
      </c>
      <c r="R9" s="128">
        <v>162.5</v>
      </c>
      <c r="S9" s="128">
        <v>1.07</v>
      </c>
      <c r="T9" s="128">
        <v>1.07</v>
      </c>
      <c r="U9" s="120">
        <f aca="true" t="shared" si="1" ref="U9:U15">-Q9+R9+T9</f>
        <v>100.86999999999999</v>
      </c>
      <c r="V9" s="127">
        <v>0</v>
      </c>
      <c r="W9" s="128">
        <v>42.2</v>
      </c>
      <c r="X9" s="128">
        <v>0.05</v>
      </c>
      <c r="Y9" s="128">
        <v>0.05</v>
      </c>
      <c r="Z9" s="120">
        <f aca="true" t="shared" si="2" ref="Z9:Z15">-V9+W9+Y9</f>
        <v>42.25</v>
      </c>
      <c r="AA9" s="127">
        <v>0</v>
      </c>
      <c r="AB9" s="128">
        <v>82.7</v>
      </c>
      <c r="AC9" s="128">
        <v>0.51</v>
      </c>
      <c r="AD9" s="128">
        <v>0.51</v>
      </c>
      <c r="AE9" s="120">
        <f aca="true" t="shared" si="3" ref="AE9:AE14">-AA9+AB9+AD9</f>
        <v>83.21000000000001</v>
      </c>
      <c r="AF9" s="127">
        <v>0</v>
      </c>
      <c r="AG9" s="128">
        <v>115</v>
      </c>
      <c r="AH9" s="128">
        <v>0.08</v>
      </c>
      <c r="AI9" s="128">
        <v>0.08</v>
      </c>
      <c r="AJ9" s="120">
        <f aca="true" t="shared" si="4" ref="AJ9:AJ15">-AF9+AG9+AI9</f>
        <v>115.08</v>
      </c>
      <c r="AK9" s="127">
        <v>25.6</v>
      </c>
      <c r="AL9" s="128">
        <v>165.1</v>
      </c>
      <c r="AM9" s="128">
        <v>0.75</v>
      </c>
      <c r="AN9" s="128">
        <v>0.84</v>
      </c>
      <c r="AO9" s="120">
        <f aca="true" t="shared" si="5" ref="AO9:AO15">-AK9+AL9+AN9</f>
        <v>140.34</v>
      </c>
      <c r="AP9" s="127">
        <v>0</v>
      </c>
      <c r="AQ9" s="128">
        <v>60.6</v>
      </c>
      <c r="AR9" s="128">
        <v>0.03</v>
      </c>
      <c r="AS9" s="128">
        <v>0.03</v>
      </c>
      <c r="AT9" s="120">
        <f aca="true" t="shared" si="6" ref="AT9:AT15">-AP9+AQ9+AS9</f>
        <v>60.63</v>
      </c>
    </row>
    <row r="10" spans="1:46" s="117" customFormat="1" ht="12.75">
      <c r="A10" s="123" t="s">
        <v>20</v>
      </c>
      <c r="B10" s="124" t="s">
        <v>69</v>
      </c>
      <c r="C10" s="127">
        <v>74769.1</v>
      </c>
      <c r="D10" s="131">
        <v>73073.4</v>
      </c>
      <c r="E10" s="131">
        <f>1569.94-0.62</f>
        <v>1569.3200000000002</v>
      </c>
      <c r="F10" s="132">
        <f>1695.68-0.62-0.32</f>
        <v>1694.7400000000002</v>
      </c>
      <c r="G10" s="127">
        <v>1237</v>
      </c>
      <c r="H10" s="128">
        <v>2486</v>
      </c>
      <c r="I10" s="128">
        <f>58.03+1.73</f>
        <v>59.76</v>
      </c>
      <c r="J10" s="128">
        <f>61.45+1.73</f>
        <v>63.18</v>
      </c>
      <c r="K10" s="120">
        <f aca="true" t="shared" si="7" ref="K10:K15">-G10+H10+J10</f>
        <v>1312.18</v>
      </c>
      <c r="L10" s="127">
        <v>4206.6</v>
      </c>
      <c r="M10" s="128">
        <v>4647.6</v>
      </c>
      <c r="N10" s="128">
        <v>32.51</v>
      </c>
      <c r="O10" s="128">
        <v>39.3</v>
      </c>
      <c r="P10" s="120">
        <f t="shared" si="0"/>
        <v>480.3</v>
      </c>
      <c r="Q10" s="127">
        <v>387.3</v>
      </c>
      <c r="R10" s="128">
        <v>497</v>
      </c>
      <c r="S10" s="128">
        <v>5.68</v>
      </c>
      <c r="T10" s="128">
        <v>5.68</v>
      </c>
      <c r="U10" s="120">
        <f t="shared" si="1"/>
        <v>115.38</v>
      </c>
      <c r="V10" s="127">
        <v>67</v>
      </c>
      <c r="W10" s="128">
        <v>114.2</v>
      </c>
      <c r="X10" s="128">
        <v>0.55</v>
      </c>
      <c r="Y10" s="128">
        <v>0.56</v>
      </c>
      <c r="Z10" s="120">
        <f t="shared" si="2"/>
        <v>47.760000000000005</v>
      </c>
      <c r="AA10" s="127">
        <v>0</v>
      </c>
      <c r="AB10" s="128">
        <v>334</v>
      </c>
      <c r="AC10" s="128">
        <v>2.85</v>
      </c>
      <c r="AD10" s="128">
        <v>2.85</v>
      </c>
      <c r="AE10" s="120">
        <f t="shared" si="3"/>
        <v>336.85</v>
      </c>
      <c r="AF10" s="127">
        <v>94.4</v>
      </c>
      <c r="AG10" s="128">
        <v>290</v>
      </c>
      <c r="AH10" s="128">
        <v>0.36</v>
      </c>
      <c r="AI10" s="128">
        <v>0.36</v>
      </c>
      <c r="AJ10" s="120">
        <f t="shared" si="4"/>
        <v>195.96</v>
      </c>
      <c r="AK10" s="127">
        <v>175.6</v>
      </c>
      <c r="AL10" s="128">
        <v>365.4</v>
      </c>
      <c r="AM10" s="128">
        <v>3.36</v>
      </c>
      <c r="AN10" s="128">
        <v>3.51</v>
      </c>
      <c r="AO10" s="120">
        <f t="shared" si="5"/>
        <v>193.30999999999997</v>
      </c>
      <c r="AP10" s="127">
        <v>0</v>
      </c>
      <c r="AQ10" s="128">
        <v>195.5</v>
      </c>
      <c r="AR10" s="128">
        <v>0.1</v>
      </c>
      <c r="AS10" s="128">
        <v>0.1</v>
      </c>
      <c r="AT10" s="120">
        <f t="shared" si="6"/>
        <v>195.6</v>
      </c>
    </row>
    <row r="11" spans="1:46" s="117" customFormat="1" ht="12.75">
      <c r="A11" s="123" t="s">
        <v>21</v>
      </c>
      <c r="B11" s="124" t="s">
        <v>70</v>
      </c>
      <c r="C11" s="127">
        <v>44458</v>
      </c>
      <c r="D11" s="131">
        <v>43376.9</v>
      </c>
      <c r="E11" s="131">
        <f>1015.58-0.62</f>
        <v>1014.96</v>
      </c>
      <c r="F11" s="132">
        <f>1081.14-0.62-0.64</f>
        <v>1079.88</v>
      </c>
      <c r="G11" s="127">
        <v>630</v>
      </c>
      <c r="H11" s="128">
        <v>1425</v>
      </c>
      <c r="I11" s="128">
        <f>24.12+7.25</f>
        <v>31.37</v>
      </c>
      <c r="J11" s="128">
        <f>25.73+7.25</f>
        <v>32.980000000000004</v>
      </c>
      <c r="K11" s="120">
        <f t="shared" si="7"/>
        <v>827.98</v>
      </c>
      <c r="L11" s="127">
        <v>1844.4</v>
      </c>
      <c r="M11" s="128">
        <v>2502.6</v>
      </c>
      <c r="N11" s="128">
        <v>11.6</v>
      </c>
      <c r="O11" s="128">
        <v>14.19</v>
      </c>
      <c r="P11" s="120">
        <f t="shared" si="0"/>
        <v>672.3899999999999</v>
      </c>
      <c r="Q11" s="127">
        <v>158.4</v>
      </c>
      <c r="R11" s="128">
        <v>262.4</v>
      </c>
      <c r="S11" s="128">
        <v>1.79</v>
      </c>
      <c r="T11" s="128">
        <v>1.79</v>
      </c>
      <c r="U11" s="120">
        <f t="shared" si="1"/>
        <v>105.78999999999998</v>
      </c>
      <c r="V11" s="127">
        <v>25</v>
      </c>
      <c r="W11" s="128">
        <v>69.6</v>
      </c>
      <c r="X11" s="128">
        <v>0.17</v>
      </c>
      <c r="Y11" s="128">
        <v>0.17</v>
      </c>
      <c r="Z11" s="120">
        <f t="shared" si="2"/>
        <v>44.769999999999996</v>
      </c>
      <c r="AA11" s="127">
        <v>0</v>
      </c>
      <c r="AB11" s="128">
        <v>170.5</v>
      </c>
      <c r="AC11" s="128">
        <v>1.22</v>
      </c>
      <c r="AD11" s="128">
        <v>1.22</v>
      </c>
      <c r="AE11" s="120">
        <f t="shared" si="3"/>
        <v>171.72</v>
      </c>
      <c r="AF11" s="127">
        <v>47</v>
      </c>
      <c r="AG11" s="128">
        <v>148</v>
      </c>
      <c r="AH11" s="128">
        <v>0.09</v>
      </c>
      <c r="AI11" s="128">
        <v>0.1</v>
      </c>
      <c r="AJ11" s="120">
        <f t="shared" si="4"/>
        <v>101.1</v>
      </c>
      <c r="AK11" s="127">
        <v>34</v>
      </c>
      <c r="AL11" s="128">
        <v>169.9</v>
      </c>
      <c r="AM11" s="128">
        <v>0.91</v>
      </c>
      <c r="AN11" s="128">
        <v>1.05</v>
      </c>
      <c r="AO11" s="120">
        <f t="shared" si="5"/>
        <v>136.95000000000002</v>
      </c>
      <c r="AP11" s="127">
        <v>0</v>
      </c>
      <c r="AQ11" s="128">
        <v>89.9</v>
      </c>
      <c r="AR11" s="128">
        <v>0.03</v>
      </c>
      <c r="AS11" s="128">
        <v>0.03</v>
      </c>
      <c r="AT11" s="120">
        <f t="shared" si="6"/>
        <v>89.93</v>
      </c>
    </row>
    <row r="12" spans="1:46" s="117" customFormat="1" ht="12.75">
      <c r="A12" s="123" t="s">
        <v>22</v>
      </c>
      <c r="B12" s="124" t="s">
        <v>71</v>
      </c>
      <c r="C12" s="127">
        <v>59414.8</v>
      </c>
      <c r="D12" s="131">
        <v>58185.8</v>
      </c>
      <c r="E12" s="131">
        <f>1138.04-0.63</f>
        <v>1137.4099999999999</v>
      </c>
      <c r="F12" s="132">
        <f>1229.1-0.63-0.08</f>
        <v>1228.3899999999999</v>
      </c>
      <c r="G12" s="127">
        <v>1106.8</v>
      </c>
      <c r="H12" s="128">
        <v>2080</v>
      </c>
      <c r="I12" s="128">
        <f>46.17+8.11</f>
        <v>54.28</v>
      </c>
      <c r="J12" s="128">
        <f>48.76+8.11</f>
        <v>56.87</v>
      </c>
      <c r="K12" s="120">
        <f t="shared" si="7"/>
        <v>1030.07</v>
      </c>
      <c r="L12" s="127">
        <v>2756</v>
      </c>
      <c r="M12" s="128">
        <v>3713.6</v>
      </c>
      <c r="N12" s="128">
        <v>15.94</v>
      </c>
      <c r="O12" s="128">
        <v>20.27</v>
      </c>
      <c r="P12" s="120">
        <f t="shared" si="0"/>
        <v>977.8699999999999</v>
      </c>
      <c r="Q12" s="127">
        <v>199.9</v>
      </c>
      <c r="R12" s="128">
        <v>410.6</v>
      </c>
      <c r="S12" s="128">
        <v>3.05</v>
      </c>
      <c r="T12" s="128">
        <v>3.05</v>
      </c>
      <c r="U12" s="120">
        <f t="shared" si="1"/>
        <v>213.75000000000003</v>
      </c>
      <c r="V12" s="127">
        <v>54</v>
      </c>
      <c r="W12" s="128">
        <v>98.3</v>
      </c>
      <c r="X12" s="128">
        <v>0.36</v>
      </c>
      <c r="Y12" s="128">
        <v>0.66</v>
      </c>
      <c r="Z12" s="120">
        <f t="shared" si="2"/>
        <v>44.959999999999994</v>
      </c>
      <c r="AA12" s="127">
        <v>0</v>
      </c>
      <c r="AB12" s="128">
        <v>269.9</v>
      </c>
      <c r="AC12" s="128">
        <v>1.85</v>
      </c>
      <c r="AD12" s="128">
        <v>1.85</v>
      </c>
      <c r="AE12" s="120">
        <f t="shared" si="3"/>
        <v>271.75</v>
      </c>
      <c r="AF12" s="127">
        <v>47</v>
      </c>
      <c r="AG12" s="128">
        <v>245</v>
      </c>
      <c r="AH12" s="128">
        <v>0.27</v>
      </c>
      <c r="AI12" s="128">
        <v>0.27</v>
      </c>
      <c r="AJ12" s="120">
        <f t="shared" si="4"/>
        <v>198.27</v>
      </c>
      <c r="AK12" s="127">
        <v>25.6</v>
      </c>
      <c r="AL12" s="128">
        <v>340.9</v>
      </c>
      <c r="AM12" s="128">
        <v>2.79</v>
      </c>
      <c r="AN12" s="128">
        <v>2.9</v>
      </c>
      <c r="AO12" s="120">
        <f t="shared" si="5"/>
        <v>318.19999999999993</v>
      </c>
      <c r="AP12" s="127">
        <v>0</v>
      </c>
      <c r="AQ12" s="128">
        <v>164.3</v>
      </c>
      <c r="AR12" s="128">
        <v>0.1</v>
      </c>
      <c r="AS12" s="128">
        <v>0.1</v>
      </c>
      <c r="AT12" s="120">
        <f t="shared" si="6"/>
        <v>164.4</v>
      </c>
    </row>
    <row r="13" spans="1:46" s="117" customFormat="1" ht="12.75">
      <c r="A13" s="123" t="s">
        <v>23</v>
      </c>
      <c r="B13" s="124" t="s">
        <v>72</v>
      </c>
      <c r="C13" s="127">
        <v>36921.6</v>
      </c>
      <c r="D13" s="131">
        <v>36101.5</v>
      </c>
      <c r="E13" s="131">
        <f>766.64-0.63</f>
        <v>766.01</v>
      </c>
      <c r="F13" s="132">
        <f>820.05-0.63-0.02</f>
        <v>819.4</v>
      </c>
      <c r="G13" s="127">
        <v>399.4</v>
      </c>
      <c r="H13" s="128">
        <v>1115</v>
      </c>
      <c r="I13" s="128">
        <f>21.23+9.96</f>
        <v>31.19</v>
      </c>
      <c r="J13" s="128">
        <f>22.18+9.96</f>
        <v>32.14</v>
      </c>
      <c r="K13" s="120">
        <f t="shared" si="7"/>
        <v>747.74</v>
      </c>
      <c r="L13" s="127">
        <v>1951.8</v>
      </c>
      <c r="M13" s="128">
        <v>1849.6</v>
      </c>
      <c r="N13" s="128">
        <v>8.26</v>
      </c>
      <c r="O13" s="128">
        <v>10.87</v>
      </c>
      <c r="P13" s="120">
        <f t="shared" si="0"/>
        <v>-91.33000000000004</v>
      </c>
      <c r="Q13" s="127">
        <v>104.3</v>
      </c>
      <c r="R13" s="128">
        <v>208.9</v>
      </c>
      <c r="S13" s="128">
        <v>1</v>
      </c>
      <c r="T13" s="128">
        <v>1</v>
      </c>
      <c r="U13" s="120">
        <f t="shared" si="1"/>
        <v>105.60000000000001</v>
      </c>
      <c r="V13" s="127">
        <v>16</v>
      </c>
      <c r="W13" s="128">
        <v>61.6</v>
      </c>
      <c r="X13" s="128">
        <v>0.11</v>
      </c>
      <c r="Y13" s="128">
        <v>0.38</v>
      </c>
      <c r="Z13" s="120">
        <f t="shared" si="2"/>
        <v>45.980000000000004</v>
      </c>
      <c r="AA13" s="127">
        <v>0</v>
      </c>
      <c r="AB13" s="128">
        <v>113.3</v>
      </c>
      <c r="AC13" s="128">
        <v>0.77</v>
      </c>
      <c r="AD13" s="128">
        <v>0.77</v>
      </c>
      <c r="AE13" s="120">
        <f t="shared" si="3"/>
        <v>114.07</v>
      </c>
      <c r="AF13" s="127">
        <v>0</v>
      </c>
      <c r="AG13" s="128">
        <v>130</v>
      </c>
      <c r="AH13" s="128">
        <v>0.11</v>
      </c>
      <c r="AI13" s="128">
        <v>0.11</v>
      </c>
      <c r="AJ13" s="120">
        <f t="shared" si="4"/>
        <v>130.11</v>
      </c>
      <c r="AK13" s="127">
        <v>0</v>
      </c>
      <c r="AL13" s="128">
        <v>169.6</v>
      </c>
      <c r="AM13" s="128">
        <v>1.07</v>
      </c>
      <c r="AN13" s="128">
        <v>1.08</v>
      </c>
      <c r="AO13" s="120">
        <f t="shared" si="5"/>
        <v>170.68</v>
      </c>
      <c r="AP13" s="127">
        <v>0</v>
      </c>
      <c r="AQ13" s="128">
        <v>76.3</v>
      </c>
      <c r="AR13" s="128">
        <v>0.04</v>
      </c>
      <c r="AS13" s="128">
        <v>0.04</v>
      </c>
      <c r="AT13" s="120">
        <f t="shared" si="6"/>
        <v>76.34</v>
      </c>
    </row>
    <row r="14" spans="1:46" s="117" customFormat="1" ht="12.75">
      <c r="A14" s="123" t="s">
        <v>24</v>
      </c>
      <c r="B14" s="124" t="s">
        <v>73</v>
      </c>
      <c r="C14" s="127">
        <v>58426</v>
      </c>
      <c r="D14" s="131">
        <v>57136.8</v>
      </c>
      <c r="E14" s="131">
        <f>1198.84-0.66</f>
        <v>1198.1799999999998</v>
      </c>
      <c r="F14" s="132">
        <f>1289.14-0.66-0.6</f>
        <v>1287.88</v>
      </c>
      <c r="G14" s="127">
        <v>596.4</v>
      </c>
      <c r="H14" s="128">
        <v>1848</v>
      </c>
      <c r="I14" s="128">
        <f>37.89+0.96</f>
        <v>38.85</v>
      </c>
      <c r="J14" s="128">
        <f>39.1+0.96</f>
        <v>40.06</v>
      </c>
      <c r="K14" s="120">
        <f t="shared" si="7"/>
        <v>1291.6599999999999</v>
      </c>
      <c r="L14" s="127">
        <v>1776</v>
      </c>
      <c r="M14" s="128">
        <v>3067.6</v>
      </c>
      <c r="N14" s="128">
        <v>13.06</v>
      </c>
      <c r="O14" s="128">
        <v>16.01</v>
      </c>
      <c r="P14" s="120">
        <f t="shared" si="0"/>
        <v>1307.61</v>
      </c>
      <c r="Q14" s="127">
        <v>160.3</v>
      </c>
      <c r="R14" s="128">
        <v>371.4</v>
      </c>
      <c r="S14" s="128">
        <v>3.02</v>
      </c>
      <c r="T14" s="128">
        <v>3.03</v>
      </c>
      <c r="U14" s="120">
        <f t="shared" si="1"/>
        <v>214.12999999999997</v>
      </c>
      <c r="V14" s="127">
        <v>36</v>
      </c>
      <c r="W14" s="128">
        <v>89.7</v>
      </c>
      <c r="X14" s="128">
        <v>0.27</v>
      </c>
      <c r="Y14" s="128">
        <v>0.42</v>
      </c>
      <c r="Z14" s="120">
        <f t="shared" si="2"/>
        <v>54.120000000000005</v>
      </c>
      <c r="AA14" s="127">
        <v>0</v>
      </c>
      <c r="AB14" s="128">
        <v>190.8</v>
      </c>
      <c r="AC14" s="128">
        <v>1.66</v>
      </c>
      <c r="AD14" s="128">
        <v>1.66</v>
      </c>
      <c r="AE14" s="120">
        <f t="shared" si="3"/>
        <v>192.46</v>
      </c>
      <c r="AF14" s="127">
        <v>44</v>
      </c>
      <c r="AG14" s="128">
        <v>236</v>
      </c>
      <c r="AH14" s="128">
        <v>0.27</v>
      </c>
      <c r="AI14" s="128">
        <v>0.27</v>
      </c>
      <c r="AJ14" s="120">
        <f t="shared" si="4"/>
        <v>192.27</v>
      </c>
      <c r="AK14" s="127">
        <v>25.6</v>
      </c>
      <c r="AL14" s="128">
        <v>321</v>
      </c>
      <c r="AM14" s="128">
        <v>3.02</v>
      </c>
      <c r="AN14" s="128">
        <v>3.13</v>
      </c>
      <c r="AO14" s="120">
        <f t="shared" si="5"/>
        <v>298.53</v>
      </c>
      <c r="AP14" s="127">
        <v>0</v>
      </c>
      <c r="AQ14" s="128">
        <v>156.4</v>
      </c>
      <c r="AR14" s="128">
        <v>0.11</v>
      </c>
      <c r="AS14" s="128">
        <v>0.11</v>
      </c>
      <c r="AT14" s="120">
        <f t="shared" si="6"/>
        <v>156.51000000000002</v>
      </c>
    </row>
    <row r="15" spans="1:46" s="117" customFormat="1" ht="12.75">
      <c r="A15" s="114" t="s">
        <v>25</v>
      </c>
      <c r="B15" s="115" t="s">
        <v>74</v>
      </c>
      <c r="C15" s="129">
        <v>41124.9</v>
      </c>
      <c r="D15" s="133">
        <v>40206.2</v>
      </c>
      <c r="E15" s="133">
        <f>852.2-0.63</f>
        <v>851.57</v>
      </c>
      <c r="F15" s="134">
        <f>918.73-0.63-0.47</f>
        <v>917.63</v>
      </c>
      <c r="G15" s="129">
        <v>297.8</v>
      </c>
      <c r="H15" s="130">
        <v>980</v>
      </c>
      <c r="I15" s="130">
        <f>17.64+3.05</f>
        <v>20.69</v>
      </c>
      <c r="J15" s="130">
        <f>18.48+3.05</f>
        <v>21.53</v>
      </c>
      <c r="K15" s="116">
        <f t="shared" si="7"/>
        <v>703.73</v>
      </c>
      <c r="L15" s="129">
        <v>1661.2</v>
      </c>
      <c r="M15" s="130">
        <v>2112.6</v>
      </c>
      <c r="N15" s="130">
        <v>8.9</v>
      </c>
      <c r="O15" s="130">
        <v>11.42</v>
      </c>
      <c r="P15" s="116">
        <f t="shared" si="0"/>
        <v>462.8199999999999</v>
      </c>
      <c r="Q15" s="129">
        <v>142.9</v>
      </c>
      <c r="R15" s="130">
        <v>251.6</v>
      </c>
      <c r="S15" s="130">
        <v>1.63</v>
      </c>
      <c r="T15" s="130">
        <v>1.64</v>
      </c>
      <c r="U15" s="116">
        <f t="shared" si="1"/>
        <v>110.33999999999999</v>
      </c>
      <c r="V15" s="129">
        <v>0</v>
      </c>
      <c r="W15" s="130">
        <v>53</v>
      </c>
      <c r="X15" s="130">
        <v>0.08</v>
      </c>
      <c r="Y15" s="130">
        <v>0.08</v>
      </c>
      <c r="Z15" s="116">
        <f t="shared" si="2"/>
        <v>53.08</v>
      </c>
      <c r="AA15" s="129">
        <v>0</v>
      </c>
      <c r="AB15" s="130">
        <v>97.4</v>
      </c>
      <c r="AC15" s="130">
        <v>0.95</v>
      </c>
      <c r="AD15" s="130">
        <v>0.95</v>
      </c>
      <c r="AE15" s="116">
        <f>-AA15+AB15+AD15</f>
        <v>98.35000000000001</v>
      </c>
      <c r="AF15" s="129">
        <v>0</v>
      </c>
      <c r="AG15" s="130">
        <v>154.9</v>
      </c>
      <c r="AH15" s="130">
        <v>0.14</v>
      </c>
      <c r="AI15" s="130">
        <v>0.14</v>
      </c>
      <c r="AJ15" s="116">
        <f t="shared" si="4"/>
        <v>155.04</v>
      </c>
      <c r="AK15" s="129">
        <v>32</v>
      </c>
      <c r="AL15" s="130">
        <v>183.3</v>
      </c>
      <c r="AM15" s="130">
        <v>1.54</v>
      </c>
      <c r="AN15" s="130">
        <v>1.67</v>
      </c>
      <c r="AO15" s="116">
        <f t="shared" si="5"/>
        <v>152.97</v>
      </c>
      <c r="AP15" s="129">
        <v>0</v>
      </c>
      <c r="AQ15" s="130">
        <v>139.1</v>
      </c>
      <c r="AR15" s="130">
        <v>0.06</v>
      </c>
      <c r="AS15" s="130">
        <v>0.06</v>
      </c>
      <c r="AT15" s="116">
        <f t="shared" si="6"/>
        <v>139.16</v>
      </c>
    </row>
    <row r="16" spans="1:18" ht="12.75">
      <c r="A16" s="2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24" t="s">
        <v>26</v>
      </c>
      <c r="B17" s="4"/>
      <c r="C17" s="4"/>
      <c r="D17" s="4"/>
      <c r="E17" s="4"/>
      <c r="F17" s="4"/>
      <c r="G17" s="4"/>
      <c r="H17" s="4"/>
      <c r="I17" s="4"/>
      <c r="J17" s="24" t="s">
        <v>27</v>
      </c>
      <c r="K17" s="4"/>
      <c r="L17" s="4"/>
      <c r="M17" s="4"/>
      <c r="N17" s="4"/>
      <c r="O17" s="4"/>
      <c r="P17" s="4"/>
      <c r="Q17" s="4"/>
      <c r="R17" s="4"/>
    </row>
    <row r="18" spans="1:19" ht="63.75">
      <c r="A18" s="10" t="s">
        <v>10</v>
      </c>
      <c r="B18" s="11" t="s">
        <v>11</v>
      </c>
      <c r="C18" s="13" t="s">
        <v>57</v>
      </c>
      <c r="D18" s="10" t="s">
        <v>28</v>
      </c>
      <c r="E18" s="10" t="s">
        <v>77</v>
      </c>
      <c r="F18" s="10" t="s">
        <v>56</v>
      </c>
      <c r="G18" s="10" t="s">
        <v>76</v>
      </c>
      <c r="H18" s="10" t="s">
        <v>58</v>
      </c>
      <c r="I18" s="25" t="s">
        <v>29</v>
      </c>
      <c r="J18" s="26"/>
      <c r="K18" s="27" t="s">
        <v>30</v>
      </c>
      <c r="L18" s="27" t="s">
        <v>31</v>
      </c>
      <c r="M18" s="27" t="s">
        <v>32</v>
      </c>
      <c r="N18" s="27" t="s">
        <v>33</v>
      </c>
      <c r="O18" s="10" t="s">
        <v>11</v>
      </c>
      <c r="P18" s="28"/>
      <c r="Q18" s="29"/>
      <c r="R18" s="30"/>
      <c r="S18" s="4"/>
    </row>
    <row r="19" spans="1:19" ht="12.75">
      <c r="A19" s="14" t="s">
        <v>18</v>
      </c>
      <c r="B19" s="119" t="s">
        <v>67</v>
      </c>
      <c r="C19" s="138">
        <v>2907</v>
      </c>
      <c r="D19" s="138">
        <v>1314.1</v>
      </c>
      <c r="E19" s="138">
        <v>523.7</v>
      </c>
      <c r="F19" s="138">
        <v>25.6</v>
      </c>
      <c r="G19" s="139">
        <v>148.4</v>
      </c>
      <c r="H19" s="140">
        <v>0</v>
      </c>
      <c r="I19" s="31">
        <f aca="true" t="shared" si="8" ref="I19:I26">SUM(C19:H19)</f>
        <v>4918.8</v>
      </c>
      <c r="J19" s="32"/>
      <c r="K19" s="33">
        <f aca="true" t="shared" si="9" ref="K19:K25">+H8+M8+R8+W8+AB8+AG8+AL8+AQ8</f>
        <v>7702.299999999999</v>
      </c>
      <c r="L19" s="34">
        <f>+K8+P8+U8+Z8+AE8+AJ8+AO8+AT8</f>
        <v>4324.579999999999</v>
      </c>
      <c r="M19" s="34">
        <f>+K19-L19</f>
        <v>3377.7200000000003</v>
      </c>
      <c r="N19" s="16">
        <f>+I8+N8+S8+X8+AC8+AH8+AM8+AR8</f>
        <v>82.11</v>
      </c>
      <c r="O19" s="119" t="s">
        <v>67</v>
      </c>
      <c r="P19" s="4"/>
      <c r="Q19" s="4"/>
      <c r="R19" s="4"/>
      <c r="S19" s="4"/>
    </row>
    <row r="20" spans="1:19" ht="12.75">
      <c r="A20" s="17" t="s">
        <v>19</v>
      </c>
      <c r="B20" s="124" t="s">
        <v>68</v>
      </c>
      <c r="C20" s="111">
        <v>2907</v>
      </c>
      <c r="D20" s="111">
        <v>1314.1</v>
      </c>
      <c r="E20" s="111">
        <v>523.7</v>
      </c>
      <c r="F20" s="111">
        <v>25.6</v>
      </c>
      <c r="G20" s="113">
        <v>148.4</v>
      </c>
      <c r="H20" s="135">
        <v>0</v>
      </c>
      <c r="I20" s="31">
        <f t="shared" si="8"/>
        <v>4918.8</v>
      </c>
      <c r="J20" s="32"/>
      <c r="K20" s="35">
        <f t="shared" si="9"/>
        <v>3936.1999999999994</v>
      </c>
      <c r="L20" s="36">
        <f aca="true" t="shared" si="10" ref="L20:L26">+K9+P9+U9+Z9+AE9+AJ9+AO9+AT9</f>
        <v>1553.5499999999997</v>
      </c>
      <c r="M20" s="36">
        <f aca="true" t="shared" si="11" ref="M20:M26">+K20-L20</f>
        <v>2382.6499999999996</v>
      </c>
      <c r="N20" s="19">
        <f aca="true" t="shared" si="12" ref="N20:N26">+I9+N9+S9+X9+AC9+AH9+AM9+AR9</f>
        <v>42.97999999999999</v>
      </c>
      <c r="O20" s="124" t="s">
        <v>68</v>
      </c>
      <c r="P20" s="4"/>
      <c r="Q20" s="4"/>
      <c r="R20" s="4"/>
      <c r="S20" s="4"/>
    </row>
    <row r="21" spans="1:19" ht="12.75">
      <c r="A21" s="17" t="s">
        <v>20</v>
      </c>
      <c r="B21" s="124" t="s">
        <v>69</v>
      </c>
      <c r="C21" s="111">
        <v>2907</v>
      </c>
      <c r="D21" s="111">
        <v>1295.32</v>
      </c>
      <c r="E21" s="111">
        <v>523.7</v>
      </c>
      <c r="F21" s="111">
        <v>32</v>
      </c>
      <c r="G21" s="113">
        <v>148.4</v>
      </c>
      <c r="H21" s="135">
        <v>0</v>
      </c>
      <c r="I21" s="31">
        <f t="shared" si="8"/>
        <v>4906.419999999999</v>
      </c>
      <c r="J21" s="32"/>
      <c r="K21" s="35">
        <f t="shared" si="9"/>
        <v>8929.699999999999</v>
      </c>
      <c r="L21" s="36">
        <f t="shared" si="10"/>
        <v>2877.34</v>
      </c>
      <c r="M21" s="36">
        <f t="shared" si="11"/>
        <v>6052.359999999999</v>
      </c>
      <c r="N21" s="19">
        <f t="shared" si="12"/>
        <v>105.16999999999997</v>
      </c>
      <c r="O21" s="124" t="s">
        <v>69</v>
      </c>
      <c r="P21" s="4"/>
      <c r="Q21" s="4"/>
      <c r="R21" s="4"/>
      <c r="S21" s="4"/>
    </row>
    <row r="22" spans="1:19" ht="12.75">
      <c r="A22" s="17" t="s">
        <v>21</v>
      </c>
      <c r="B22" s="124" t="s">
        <v>70</v>
      </c>
      <c r="C22" s="111">
        <v>2907</v>
      </c>
      <c r="D22" s="111">
        <v>1302.02</v>
      </c>
      <c r="E22" s="111">
        <v>523.7</v>
      </c>
      <c r="F22" s="111">
        <v>32</v>
      </c>
      <c r="G22" s="113">
        <v>148.4</v>
      </c>
      <c r="H22" s="135">
        <v>0</v>
      </c>
      <c r="I22" s="31">
        <f t="shared" si="8"/>
        <v>4913.12</v>
      </c>
      <c r="J22" s="32"/>
      <c r="K22" s="35">
        <f t="shared" si="9"/>
        <v>4837.9</v>
      </c>
      <c r="L22" s="36">
        <f t="shared" si="10"/>
        <v>2150.6299999999997</v>
      </c>
      <c r="M22" s="36">
        <f t="shared" si="11"/>
        <v>2687.27</v>
      </c>
      <c r="N22" s="19">
        <f t="shared" si="12"/>
        <v>47.18</v>
      </c>
      <c r="O22" s="124" t="s">
        <v>70</v>
      </c>
      <c r="P22" s="4"/>
      <c r="Q22" s="4"/>
      <c r="R22" s="4"/>
      <c r="S22" s="4"/>
    </row>
    <row r="23" spans="1:19" ht="12.75">
      <c r="A23" s="17" t="s">
        <v>22</v>
      </c>
      <c r="B23" s="124" t="s">
        <v>71</v>
      </c>
      <c r="C23" s="111">
        <v>2907</v>
      </c>
      <c r="D23" s="111">
        <v>1300.1</v>
      </c>
      <c r="E23" s="111">
        <v>523.7</v>
      </c>
      <c r="F23" s="111">
        <v>25.6</v>
      </c>
      <c r="G23" s="113">
        <v>148.4</v>
      </c>
      <c r="H23" s="135">
        <v>0</v>
      </c>
      <c r="I23" s="31">
        <f t="shared" si="8"/>
        <v>4904.8</v>
      </c>
      <c r="J23" s="32"/>
      <c r="K23" s="35">
        <f t="shared" si="9"/>
        <v>7322.6</v>
      </c>
      <c r="L23" s="36">
        <f t="shared" si="10"/>
        <v>3219.27</v>
      </c>
      <c r="M23" s="36">
        <f t="shared" si="11"/>
        <v>4103.33</v>
      </c>
      <c r="N23" s="19">
        <f t="shared" si="12"/>
        <v>78.63999999999999</v>
      </c>
      <c r="O23" s="124" t="s">
        <v>71</v>
      </c>
      <c r="P23" s="4"/>
      <c r="Q23" s="4"/>
      <c r="R23" s="4"/>
      <c r="S23" s="4"/>
    </row>
    <row r="24" spans="1:19" ht="12.75">
      <c r="A24" s="17" t="s">
        <v>23</v>
      </c>
      <c r="B24" s="124" t="s">
        <v>72</v>
      </c>
      <c r="C24" s="111">
        <v>2907</v>
      </c>
      <c r="D24" s="111">
        <v>1300.1</v>
      </c>
      <c r="E24" s="111">
        <v>523.7</v>
      </c>
      <c r="F24" s="111">
        <v>0</v>
      </c>
      <c r="G24" s="113">
        <v>148.4</v>
      </c>
      <c r="H24" s="135">
        <v>0</v>
      </c>
      <c r="I24" s="31">
        <f t="shared" si="8"/>
        <v>4879.2</v>
      </c>
      <c r="J24" s="32"/>
      <c r="K24" s="35">
        <f t="shared" si="9"/>
        <v>3724.3</v>
      </c>
      <c r="L24" s="36">
        <f t="shared" si="10"/>
        <v>1299.19</v>
      </c>
      <c r="M24" s="36">
        <f t="shared" si="11"/>
        <v>2425.11</v>
      </c>
      <c r="N24" s="19">
        <f t="shared" si="12"/>
        <v>42.550000000000004</v>
      </c>
      <c r="O24" s="124" t="s">
        <v>72</v>
      </c>
      <c r="P24" s="4"/>
      <c r="Q24" s="4"/>
      <c r="R24" s="4"/>
      <c r="S24" s="4"/>
    </row>
    <row r="25" spans="1:19" ht="12.75">
      <c r="A25" s="17" t="s">
        <v>24</v>
      </c>
      <c r="B25" s="124" t="s">
        <v>73</v>
      </c>
      <c r="C25" s="111">
        <v>2907</v>
      </c>
      <c r="D25" s="111">
        <v>1314</v>
      </c>
      <c r="E25" s="111">
        <v>523.7</v>
      </c>
      <c r="F25" s="111">
        <v>25.6</v>
      </c>
      <c r="G25" s="113">
        <v>148.4</v>
      </c>
      <c r="H25" s="135">
        <v>0</v>
      </c>
      <c r="I25" s="31">
        <f t="shared" si="8"/>
        <v>4918.7</v>
      </c>
      <c r="J25" s="32"/>
      <c r="K25" s="35">
        <f t="shared" si="9"/>
        <v>6280.9</v>
      </c>
      <c r="L25" s="36">
        <f t="shared" si="10"/>
        <v>3707.29</v>
      </c>
      <c r="M25" s="36">
        <f t="shared" si="11"/>
        <v>2573.6099999999997</v>
      </c>
      <c r="N25" s="19">
        <f t="shared" si="12"/>
        <v>60.26000000000001</v>
      </c>
      <c r="O25" s="124" t="s">
        <v>73</v>
      </c>
      <c r="P25" s="4"/>
      <c r="Q25" s="4"/>
      <c r="R25" s="4"/>
      <c r="S25" s="4"/>
    </row>
    <row r="26" spans="1:19" ht="12.75">
      <c r="A26" s="20" t="s">
        <v>25</v>
      </c>
      <c r="B26" s="115" t="s">
        <v>74</v>
      </c>
      <c r="C26" s="112">
        <v>2907</v>
      </c>
      <c r="D26" s="112">
        <v>1298.21</v>
      </c>
      <c r="E26" s="112">
        <v>523.7</v>
      </c>
      <c r="F26" s="112">
        <v>32</v>
      </c>
      <c r="G26" s="141">
        <v>148.4</v>
      </c>
      <c r="H26" s="136">
        <v>0</v>
      </c>
      <c r="I26" s="37">
        <f t="shared" si="8"/>
        <v>4909.3099999999995</v>
      </c>
      <c r="J26" s="32"/>
      <c r="K26" s="38">
        <f>+H15+M15+R15+W15+AB15+AG15+AL15+AQ15</f>
        <v>3971.9</v>
      </c>
      <c r="L26" s="39">
        <f t="shared" si="10"/>
        <v>1875.4899999999998</v>
      </c>
      <c r="M26" s="39">
        <f t="shared" si="11"/>
        <v>2096.4100000000003</v>
      </c>
      <c r="N26" s="22">
        <f t="shared" si="12"/>
        <v>33.99</v>
      </c>
      <c r="O26" s="115" t="s">
        <v>74</v>
      </c>
      <c r="P26" s="4"/>
      <c r="Q26" s="4"/>
      <c r="R26" s="4"/>
      <c r="S26" s="4"/>
    </row>
    <row r="27" spans="1:18" ht="12.75">
      <c r="A27" s="29"/>
      <c r="B27" s="18"/>
      <c r="C27" s="41"/>
      <c r="D27" s="41"/>
      <c r="E27" s="41"/>
      <c r="F27" s="41"/>
      <c r="G27" s="41"/>
      <c r="H27" s="42"/>
      <c r="I27" s="32"/>
      <c r="J27" s="4"/>
      <c r="K27" s="4"/>
      <c r="L27" s="4"/>
      <c r="M27" s="4"/>
      <c r="N27" s="4"/>
      <c r="O27" s="4"/>
      <c r="P27" s="4"/>
      <c r="Q27" s="4"/>
      <c r="R27" s="4"/>
    </row>
    <row r="28" spans="1:18" ht="12.75">
      <c r="A28" s="29"/>
      <c r="B28" s="18"/>
      <c r="C28" s="41"/>
      <c r="D28" s="41"/>
      <c r="E28" s="41"/>
      <c r="F28" s="41"/>
      <c r="G28" s="41"/>
      <c r="H28" s="42"/>
      <c r="I28" s="32"/>
      <c r="J28" s="4"/>
      <c r="K28" s="4"/>
      <c r="L28" s="4"/>
      <c r="M28" s="4"/>
      <c r="N28" s="4"/>
      <c r="O28" s="4"/>
      <c r="P28" s="4"/>
      <c r="Q28" s="4"/>
      <c r="R28" s="4"/>
    </row>
    <row r="29" spans="1:46" ht="12.75">
      <c r="A29" s="142" t="s">
        <v>34</v>
      </c>
      <c r="B29" s="43" t="s">
        <v>55</v>
      </c>
      <c r="C29" s="44"/>
      <c r="D29" s="44"/>
      <c r="E29" s="45"/>
      <c r="F29" s="44"/>
      <c r="G29" s="46" t="s">
        <v>36</v>
      </c>
      <c r="H29" s="44"/>
      <c r="I29" s="44"/>
      <c r="J29" s="45"/>
      <c r="K29" s="44"/>
      <c r="L29" s="46" t="s">
        <v>37</v>
      </c>
      <c r="M29" s="44"/>
      <c r="N29" s="44"/>
      <c r="O29" s="45"/>
      <c r="P29" s="44"/>
      <c r="Q29" s="46" t="s">
        <v>38</v>
      </c>
      <c r="R29" s="44"/>
      <c r="S29" s="44"/>
      <c r="T29" s="45"/>
      <c r="U29" s="44"/>
      <c r="V29" s="46" t="s">
        <v>39</v>
      </c>
      <c r="W29" s="44"/>
      <c r="X29" s="44"/>
      <c r="Y29" s="47"/>
      <c r="Z29" s="48"/>
      <c r="AA29" s="46" t="s">
        <v>40</v>
      </c>
      <c r="AB29" s="44"/>
      <c r="AC29" s="44"/>
      <c r="AD29" s="47"/>
      <c r="AE29" s="48"/>
      <c r="AF29" s="46" t="s">
        <v>79</v>
      </c>
      <c r="AG29" s="44"/>
      <c r="AH29" s="44"/>
      <c r="AI29" s="47"/>
      <c r="AJ29" s="48"/>
      <c r="AK29" s="46" t="s">
        <v>41</v>
      </c>
      <c r="AL29" s="44"/>
      <c r="AM29" s="44"/>
      <c r="AN29" s="47"/>
      <c r="AO29" s="48"/>
      <c r="AP29" s="49" t="s">
        <v>42</v>
      </c>
      <c r="AQ29" s="44"/>
      <c r="AR29" s="44"/>
      <c r="AS29" s="47"/>
      <c r="AT29" s="50"/>
    </row>
    <row r="30" spans="1:46" ht="12.75">
      <c r="A30" s="143"/>
      <c r="B30" s="51" t="s">
        <v>43</v>
      </c>
      <c r="C30" s="21" t="s">
        <v>44</v>
      </c>
      <c r="D30" s="21" t="s">
        <v>45</v>
      </c>
      <c r="E30" s="40" t="s">
        <v>46</v>
      </c>
      <c r="F30" s="21"/>
      <c r="G30" s="51" t="s">
        <v>43</v>
      </c>
      <c r="H30" s="21" t="s">
        <v>44</v>
      </c>
      <c r="I30" s="21" t="s">
        <v>45</v>
      </c>
      <c r="J30" s="40" t="s">
        <v>46</v>
      </c>
      <c r="K30" s="21"/>
      <c r="L30" s="51" t="s">
        <v>43</v>
      </c>
      <c r="M30" s="21" t="s">
        <v>44</v>
      </c>
      <c r="N30" s="21" t="s">
        <v>45</v>
      </c>
      <c r="O30" s="40" t="s">
        <v>46</v>
      </c>
      <c r="P30" s="21"/>
      <c r="Q30" s="51" t="s">
        <v>43</v>
      </c>
      <c r="R30" s="21" t="s">
        <v>44</v>
      </c>
      <c r="S30" s="21" t="s">
        <v>45</v>
      </c>
      <c r="T30" s="40" t="s">
        <v>46</v>
      </c>
      <c r="U30" s="21"/>
      <c r="V30" s="51" t="s">
        <v>43</v>
      </c>
      <c r="W30" s="21" t="s">
        <v>44</v>
      </c>
      <c r="X30" s="21" t="s">
        <v>45</v>
      </c>
      <c r="Y30" s="40" t="s">
        <v>46</v>
      </c>
      <c r="Z30" s="21"/>
      <c r="AA30" s="51" t="s">
        <v>43</v>
      </c>
      <c r="AB30" s="21" t="s">
        <v>44</v>
      </c>
      <c r="AC30" s="21" t="s">
        <v>45</v>
      </c>
      <c r="AD30" s="40" t="s">
        <v>46</v>
      </c>
      <c r="AE30" s="21"/>
      <c r="AF30" s="51" t="s">
        <v>43</v>
      </c>
      <c r="AG30" s="21" t="s">
        <v>44</v>
      </c>
      <c r="AH30" s="21" t="s">
        <v>45</v>
      </c>
      <c r="AI30" s="40" t="s">
        <v>46</v>
      </c>
      <c r="AJ30" s="21"/>
      <c r="AK30" s="51" t="s">
        <v>43</v>
      </c>
      <c r="AL30" s="21" t="s">
        <v>44</v>
      </c>
      <c r="AM30" s="21" t="s">
        <v>45</v>
      </c>
      <c r="AN30" s="40" t="s">
        <v>46</v>
      </c>
      <c r="AO30" s="21"/>
      <c r="AP30" s="51" t="s">
        <v>43</v>
      </c>
      <c r="AQ30" s="21" t="s">
        <v>44</v>
      </c>
      <c r="AR30" s="21" t="s">
        <v>45</v>
      </c>
      <c r="AS30" s="40" t="s">
        <v>46</v>
      </c>
      <c r="AT30" s="18"/>
    </row>
    <row r="31" spans="1:46" ht="12.75">
      <c r="A31" s="52" t="s">
        <v>47</v>
      </c>
      <c r="B31" s="53">
        <f>+C8-I19</f>
        <v>57196.6</v>
      </c>
      <c r="C31" s="54">
        <f>+C9-I20</f>
        <v>33922.1</v>
      </c>
      <c r="D31" s="55">
        <f>+E8/+B31</f>
        <v>0.022973218687824103</v>
      </c>
      <c r="E31" s="56">
        <f>+E9/+C31</f>
        <v>0.021789334976313378</v>
      </c>
      <c r="F31" s="55"/>
      <c r="G31" s="57">
        <f>+H8</f>
        <v>2261.7</v>
      </c>
      <c r="H31" s="15">
        <f>+H9</f>
        <v>1200</v>
      </c>
      <c r="I31" s="58">
        <f>+I8/(+G31+I8)</f>
        <v>0.02228466443315681</v>
      </c>
      <c r="J31" s="59">
        <f>+I9/(+H31+I9)</f>
        <v>0.02482629718418593</v>
      </c>
      <c r="K31" s="58"/>
      <c r="L31" s="57">
        <f>+M8</f>
        <v>4066.7</v>
      </c>
      <c r="M31" s="15">
        <f>+M9</f>
        <v>2108.1</v>
      </c>
      <c r="N31" s="58">
        <f>+N8/(+L31+N8)</f>
        <v>0.005485274373766547</v>
      </c>
      <c r="O31" s="59">
        <f>+N9/(+M31+N9)</f>
        <v>0.004693018073313063</v>
      </c>
      <c r="P31" s="58"/>
      <c r="Q31" s="57">
        <f>+R8</f>
        <v>293.2</v>
      </c>
      <c r="R31" s="15">
        <f>+R9</f>
        <v>162.5</v>
      </c>
      <c r="S31" s="58">
        <f>+S8/(+Q31+S8)</f>
        <v>0.008051965626903038</v>
      </c>
      <c r="T31" s="59">
        <f>+S9/(+R31+S9)</f>
        <v>0.006541541847527053</v>
      </c>
      <c r="U31" s="58"/>
      <c r="V31" s="57">
        <f>+W8</f>
        <v>67.5</v>
      </c>
      <c r="W31" s="15">
        <f>+W9</f>
        <v>42.2</v>
      </c>
      <c r="X31" s="58">
        <f>+X8/(+V31+X8)</f>
        <v>0.002217294900221729</v>
      </c>
      <c r="Y31" s="59">
        <f>+X9/(+W31+X9)</f>
        <v>0.001183431952662722</v>
      </c>
      <c r="Z31" s="58"/>
      <c r="AA31" s="57">
        <f>+AB8</f>
        <v>300.6</v>
      </c>
      <c r="AB31" s="15">
        <f>+AB9</f>
        <v>82.7</v>
      </c>
      <c r="AC31" s="58">
        <f>+AC8/(+AA31+AC8)</f>
        <v>0.007363867516428358</v>
      </c>
      <c r="AD31" s="59">
        <f>+AC9/(+AB31+AC9)</f>
        <v>0.006129071025117173</v>
      </c>
      <c r="AE31" s="58"/>
      <c r="AF31" s="57">
        <f>+AG8</f>
        <v>236</v>
      </c>
      <c r="AG31" s="15">
        <f>+AG9</f>
        <v>115</v>
      </c>
      <c r="AH31" s="58">
        <f>+AH8/(+AF31+AH8)</f>
        <v>0.0011004825192584443</v>
      </c>
      <c r="AI31" s="59">
        <f>+AH9/(+AG31+AH9)</f>
        <v>0.0006951685783802572</v>
      </c>
      <c r="AJ31" s="58"/>
      <c r="AK31" s="57">
        <f>+AL8</f>
        <v>341.7</v>
      </c>
      <c r="AL31" s="15">
        <f>+AL9</f>
        <v>165.1</v>
      </c>
      <c r="AM31" s="58">
        <f>+AM8/(+AK31+AM8)</f>
        <v>0.008760733348804828</v>
      </c>
      <c r="AN31" s="59">
        <f>+AM9/(+AL31+AM9)</f>
        <v>0.004522158577027435</v>
      </c>
      <c r="AO31" s="58"/>
      <c r="AP31" s="57">
        <f>+AQ8</f>
        <v>134.9</v>
      </c>
      <c r="AQ31" s="15">
        <f>+AQ9</f>
        <v>60.6</v>
      </c>
      <c r="AR31" s="58">
        <f>+AR8/(+AP31+AR8)</f>
        <v>0.000666716053040966</v>
      </c>
      <c r="AS31" s="59">
        <f>+AR9/(+AQ31+AR9)</f>
        <v>0.0004948045522018802</v>
      </c>
      <c r="AT31" s="60"/>
    </row>
    <row r="32" spans="1:46" ht="12.75">
      <c r="A32" s="61"/>
      <c r="B32" s="62"/>
      <c r="C32" s="63"/>
      <c r="D32" s="64"/>
      <c r="E32" s="65"/>
      <c r="F32" s="64"/>
      <c r="G32" s="66"/>
      <c r="H32" s="18"/>
      <c r="I32" s="67"/>
      <c r="J32" s="68"/>
      <c r="K32" s="67"/>
      <c r="L32" s="66"/>
      <c r="M32" s="18"/>
      <c r="N32" s="67"/>
      <c r="O32" s="68"/>
      <c r="P32" s="67"/>
      <c r="Q32" s="66"/>
      <c r="R32" s="18"/>
      <c r="S32" s="67"/>
      <c r="T32" s="68"/>
      <c r="U32" s="67"/>
      <c r="V32" s="66"/>
      <c r="W32" s="18"/>
      <c r="X32" s="67"/>
      <c r="Y32" s="68"/>
      <c r="Z32" s="67"/>
      <c r="AA32" s="66"/>
      <c r="AB32" s="18"/>
      <c r="AC32" s="67"/>
      <c r="AD32" s="68"/>
      <c r="AE32" s="67"/>
      <c r="AF32" s="66"/>
      <c r="AG32" s="18"/>
      <c r="AH32" s="67"/>
      <c r="AI32" s="68"/>
      <c r="AJ32" s="67"/>
      <c r="AK32" s="66"/>
      <c r="AL32" s="18"/>
      <c r="AM32" s="67"/>
      <c r="AN32" s="68"/>
      <c r="AO32" s="67"/>
      <c r="AP32" s="66"/>
      <c r="AQ32" s="18"/>
      <c r="AR32" s="67"/>
      <c r="AS32" s="68"/>
      <c r="AT32" s="60"/>
    </row>
    <row r="33" spans="1:46" ht="12.75">
      <c r="A33" s="69" t="s">
        <v>48</v>
      </c>
      <c r="B33" s="62">
        <f>+C10-I21</f>
        <v>69862.68000000001</v>
      </c>
      <c r="C33" s="63">
        <f>+C11-I22</f>
        <v>39544.88</v>
      </c>
      <c r="D33" s="64">
        <f>+E10/+B33</f>
        <v>0.02246292297976545</v>
      </c>
      <c r="E33" s="65">
        <f>+E11/+C33</f>
        <v>0.025666028067350313</v>
      </c>
      <c r="F33" s="64"/>
      <c r="G33" s="66">
        <f>+H10</f>
        <v>2486</v>
      </c>
      <c r="H33" s="18">
        <f>+H11</f>
        <v>1425</v>
      </c>
      <c r="I33" s="67">
        <f>+I10/(+G33+I10)</f>
        <v>0.02347432593803029</v>
      </c>
      <c r="J33" s="68">
        <f>+I11/(+H33+I11)</f>
        <v>0.02153985594320125</v>
      </c>
      <c r="K33" s="67"/>
      <c r="L33" s="66">
        <f>+M10</f>
        <v>4647.6</v>
      </c>
      <c r="M33" s="18">
        <f>+M11</f>
        <v>2502.6</v>
      </c>
      <c r="N33" s="67">
        <f>+N10/(+L33+N10)</f>
        <v>0.0069464179260743854</v>
      </c>
      <c r="O33" s="68">
        <f>+N11/(+M33+N11)</f>
        <v>0.00461379365205632</v>
      </c>
      <c r="P33" s="67"/>
      <c r="Q33" s="66">
        <f>+R10</f>
        <v>497</v>
      </c>
      <c r="R33" s="18">
        <f>+R11</f>
        <v>262.4</v>
      </c>
      <c r="S33" s="67">
        <f>+S10/(+Q33+S10)</f>
        <v>0.011299435028248588</v>
      </c>
      <c r="T33" s="68">
        <f>+S11/(+R33+S11)</f>
        <v>0.0067754267761838075</v>
      </c>
      <c r="U33" s="67"/>
      <c r="V33" s="66">
        <f>+W10</f>
        <v>114.2</v>
      </c>
      <c r="W33" s="18">
        <f>+W11</f>
        <v>69.6</v>
      </c>
      <c r="X33" s="67">
        <f>+X10/(+V33+X10)</f>
        <v>0.004793028322440087</v>
      </c>
      <c r="Y33" s="68">
        <f>+X11/(+W33+X11)</f>
        <v>0.0024365773254980652</v>
      </c>
      <c r="Z33" s="67"/>
      <c r="AA33" s="66">
        <f>+AB10</f>
        <v>334</v>
      </c>
      <c r="AB33" s="18">
        <f>+AB11</f>
        <v>170.5</v>
      </c>
      <c r="AC33" s="67">
        <f>+AC10/(+AA33+AC10)</f>
        <v>0.008460739201424967</v>
      </c>
      <c r="AD33" s="68">
        <f>+AC11/(+AB33+AC11)</f>
        <v>0.007104588865595155</v>
      </c>
      <c r="AE33" s="67"/>
      <c r="AF33" s="66">
        <f>+AG10</f>
        <v>290</v>
      </c>
      <c r="AG33" s="18">
        <f>+AG11</f>
        <v>148</v>
      </c>
      <c r="AH33" s="67">
        <f>+AH10/(+AF33+AH10)</f>
        <v>0.0012398401983744315</v>
      </c>
      <c r="AI33" s="68">
        <f>+AH11/(+AG33+AH11)</f>
        <v>0.00060773853737592</v>
      </c>
      <c r="AJ33" s="67"/>
      <c r="AK33" s="66">
        <f>+AL10</f>
        <v>365.4</v>
      </c>
      <c r="AL33" s="18">
        <f>+AL11</f>
        <v>169.9</v>
      </c>
      <c r="AM33" s="67">
        <f>+AM10/(+AK33+AM10)</f>
        <v>0.009111617312072893</v>
      </c>
      <c r="AN33" s="68">
        <f>+AM11/(+AL33+AM11)</f>
        <v>0.0053275569346057025</v>
      </c>
      <c r="AO33" s="67"/>
      <c r="AP33" s="66">
        <f>+AQ10</f>
        <v>195.5</v>
      </c>
      <c r="AQ33" s="18">
        <f>+AQ11</f>
        <v>89.9</v>
      </c>
      <c r="AR33" s="67">
        <f>+AR10/(+AP33+AR10)</f>
        <v>0.0005112474437627812</v>
      </c>
      <c r="AS33" s="68">
        <f>+AR11/(+AQ33+AR11)</f>
        <v>0.000333592794395641</v>
      </c>
      <c r="AT33" s="60"/>
    </row>
    <row r="34" spans="1:46" ht="12.75">
      <c r="A34" s="61"/>
      <c r="B34" s="62"/>
      <c r="C34" s="63"/>
      <c r="D34" s="64"/>
      <c r="E34" s="65"/>
      <c r="F34" s="64"/>
      <c r="G34" s="66"/>
      <c r="H34" s="18"/>
      <c r="I34" s="67"/>
      <c r="J34" s="68"/>
      <c r="K34" s="67"/>
      <c r="L34" s="66"/>
      <c r="M34" s="18"/>
      <c r="N34" s="67"/>
      <c r="O34" s="68"/>
      <c r="P34" s="67"/>
      <c r="Q34" s="66"/>
      <c r="R34" s="18"/>
      <c r="S34" s="67"/>
      <c r="T34" s="68"/>
      <c r="U34" s="67"/>
      <c r="V34" s="66"/>
      <c r="W34" s="18"/>
      <c r="X34" s="67"/>
      <c r="Y34" s="68"/>
      <c r="Z34" s="67"/>
      <c r="AA34" s="66"/>
      <c r="AB34" s="18"/>
      <c r="AC34" s="67"/>
      <c r="AD34" s="68"/>
      <c r="AE34" s="67"/>
      <c r="AF34" s="66"/>
      <c r="AG34" s="18"/>
      <c r="AH34" s="67"/>
      <c r="AI34" s="68"/>
      <c r="AJ34" s="67"/>
      <c r="AK34" s="66"/>
      <c r="AL34" s="18"/>
      <c r="AM34" s="67"/>
      <c r="AN34" s="68"/>
      <c r="AO34" s="67"/>
      <c r="AP34" s="66"/>
      <c r="AQ34" s="18"/>
      <c r="AR34" s="67"/>
      <c r="AS34" s="68"/>
      <c r="AT34" s="60"/>
    </row>
    <row r="35" spans="1:46" ht="12.75">
      <c r="A35" s="69" t="s">
        <v>49</v>
      </c>
      <c r="B35" s="62">
        <f>+C12-I23</f>
        <v>54510</v>
      </c>
      <c r="C35" s="63">
        <f>+C13-I24</f>
        <v>32042.399999999998</v>
      </c>
      <c r="D35" s="64">
        <f>+E12/+B35</f>
        <v>0.020866079618418635</v>
      </c>
      <c r="E35" s="65">
        <f>+E13/+C35</f>
        <v>0.023906136868649043</v>
      </c>
      <c r="F35" s="64"/>
      <c r="G35" s="66">
        <f>+H12</f>
        <v>2080</v>
      </c>
      <c r="H35" s="18">
        <f>+H13</f>
        <v>1115</v>
      </c>
      <c r="I35" s="67">
        <f>+I12/(+G35+I12)</f>
        <v>0.025432464343947372</v>
      </c>
      <c r="J35" s="68">
        <f>+I13/(+H35+I13)</f>
        <v>0.027211893316116873</v>
      </c>
      <c r="K35" s="67"/>
      <c r="L35" s="66">
        <f>+M12</f>
        <v>3713.6</v>
      </c>
      <c r="M35" s="18">
        <f>+M13</f>
        <v>1849.6</v>
      </c>
      <c r="N35" s="67">
        <f>+N12/(+L35+N12)</f>
        <v>0.004273985531727773</v>
      </c>
      <c r="O35" s="68">
        <f>+N13/(+M35+N13)</f>
        <v>0.004445975477161896</v>
      </c>
      <c r="P35" s="67"/>
      <c r="Q35" s="66">
        <f>+R12</f>
        <v>410.6</v>
      </c>
      <c r="R35" s="18">
        <f>+R13</f>
        <v>208.9</v>
      </c>
      <c r="S35" s="67">
        <f>+S12/(+Q35+S12)</f>
        <v>0.007373383295056206</v>
      </c>
      <c r="T35" s="68">
        <f>+S13/(+R35+S13)</f>
        <v>0.004764173415912339</v>
      </c>
      <c r="U35" s="67"/>
      <c r="V35" s="66">
        <f>+W12</f>
        <v>98.3</v>
      </c>
      <c r="W35" s="18">
        <f>+W13</f>
        <v>61.6</v>
      </c>
      <c r="X35" s="67">
        <f>+X12/(+V35+X12)</f>
        <v>0.0036488951956213257</v>
      </c>
      <c r="Y35" s="68">
        <f>+X13/(+W35+X13)</f>
        <v>0.0017825311942959</v>
      </c>
      <c r="Z35" s="67"/>
      <c r="AA35" s="66">
        <f>+AB12</f>
        <v>269.9</v>
      </c>
      <c r="AB35" s="18">
        <f>+AB13</f>
        <v>113.3</v>
      </c>
      <c r="AC35" s="67">
        <f>+AC12/(+AA35+AC12)</f>
        <v>0.0068077276908923645</v>
      </c>
      <c r="AD35" s="68">
        <f>+AC13/(+AB35+AC13)</f>
        <v>0.0067502410800385736</v>
      </c>
      <c r="AE35" s="67"/>
      <c r="AF35" s="66">
        <f>+AG12</f>
        <v>245</v>
      </c>
      <c r="AG35" s="18">
        <f>+AG13</f>
        <v>130</v>
      </c>
      <c r="AH35" s="67">
        <f>+AH12/(+AF35+AH12)</f>
        <v>0.0011008276593142251</v>
      </c>
      <c r="AI35" s="68">
        <f>+AH13/(+AG35+AH13)</f>
        <v>0.0008454384751364229</v>
      </c>
      <c r="AJ35" s="67"/>
      <c r="AK35" s="66">
        <f>+AL12</f>
        <v>340.9</v>
      </c>
      <c r="AL35" s="18">
        <f>+AL13</f>
        <v>169.6</v>
      </c>
      <c r="AM35" s="67">
        <f>+AM12/(+AK35+AM12)</f>
        <v>0.008117780558061043</v>
      </c>
      <c r="AN35" s="68">
        <f>+AM13/(+AL35+AM13)</f>
        <v>0.006269408800609364</v>
      </c>
      <c r="AO35" s="67"/>
      <c r="AP35" s="66">
        <f>+AQ12</f>
        <v>164.3</v>
      </c>
      <c r="AQ35" s="18">
        <f>+AQ13</f>
        <v>76.3</v>
      </c>
      <c r="AR35" s="67">
        <f>+AR12/(+AP35+AR12)</f>
        <v>0.0006082725060827251</v>
      </c>
      <c r="AS35" s="68">
        <f>+AR13/(+AQ35+AR13)</f>
        <v>0.0005239717055279014</v>
      </c>
      <c r="AT35" s="60"/>
    </row>
    <row r="36" spans="1:46" ht="12.75">
      <c r="A36" s="70"/>
      <c r="B36" s="62"/>
      <c r="C36" s="63"/>
      <c r="D36" s="64"/>
      <c r="E36" s="65"/>
      <c r="F36" s="64"/>
      <c r="G36" s="66"/>
      <c r="H36" s="18"/>
      <c r="I36" s="67"/>
      <c r="J36" s="68"/>
      <c r="K36" s="67"/>
      <c r="L36" s="66"/>
      <c r="M36" s="18"/>
      <c r="N36" s="67"/>
      <c r="O36" s="68"/>
      <c r="P36" s="67"/>
      <c r="Q36" s="66"/>
      <c r="R36" s="18"/>
      <c r="S36" s="67"/>
      <c r="T36" s="68"/>
      <c r="U36" s="67"/>
      <c r="V36" s="66"/>
      <c r="W36" s="18"/>
      <c r="X36" s="67"/>
      <c r="Y36" s="68"/>
      <c r="Z36" s="67"/>
      <c r="AA36" s="66"/>
      <c r="AB36" s="18"/>
      <c r="AC36" s="67"/>
      <c r="AD36" s="68"/>
      <c r="AE36" s="67"/>
      <c r="AF36" s="66"/>
      <c r="AG36" s="18"/>
      <c r="AH36" s="67"/>
      <c r="AI36" s="68"/>
      <c r="AJ36" s="67"/>
      <c r="AK36" s="66"/>
      <c r="AL36" s="18"/>
      <c r="AM36" s="67"/>
      <c r="AN36" s="68"/>
      <c r="AO36" s="67"/>
      <c r="AP36" s="66"/>
      <c r="AQ36" s="18"/>
      <c r="AR36" s="67"/>
      <c r="AS36" s="68"/>
      <c r="AT36" s="60"/>
    </row>
    <row r="37" spans="1:46" ht="12.75">
      <c r="A37" s="71" t="s">
        <v>50</v>
      </c>
      <c r="B37" s="72">
        <f>+C14-I25</f>
        <v>53507.3</v>
      </c>
      <c r="C37" s="73">
        <f>+C15-I26</f>
        <v>36215.590000000004</v>
      </c>
      <c r="D37" s="74">
        <f>+E14/+B37</f>
        <v>0.02239283237988087</v>
      </c>
      <c r="E37" s="75">
        <f>+E15/+C37</f>
        <v>0.023513906580011536</v>
      </c>
      <c r="F37" s="74"/>
      <c r="G37" s="76">
        <f>+H14</f>
        <v>1848</v>
      </c>
      <c r="H37" s="21">
        <f>+H15</f>
        <v>980</v>
      </c>
      <c r="I37" s="77">
        <f>+I14/(+G37+I14)</f>
        <v>0.02058987200890373</v>
      </c>
      <c r="J37" s="78">
        <f>+I15/(+H37+I15)</f>
        <v>0.020675733743716836</v>
      </c>
      <c r="K37" s="77"/>
      <c r="L37" s="76">
        <f>+M14</f>
        <v>3067.6</v>
      </c>
      <c r="M37" s="21">
        <f>+M15</f>
        <v>2112.6</v>
      </c>
      <c r="N37" s="77">
        <f>+N14/(+L37+N14)</f>
        <v>0.004239351307836633</v>
      </c>
      <c r="O37" s="78">
        <f>+N15/(+M37+N15)</f>
        <v>0.0041951449446146595</v>
      </c>
      <c r="P37" s="77"/>
      <c r="Q37" s="76">
        <f>+R14</f>
        <v>371.4</v>
      </c>
      <c r="R37" s="21">
        <f>+R15</f>
        <v>251.6</v>
      </c>
      <c r="S37" s="77">
        <f>+S14/(+Q37+S14)</f>
        <v>0.008065808450403292</v>
      </c>
      <c r="T37" s="78">
        <f>+S15/(+R37+S15)</f>
        <v>0.006436836077873869</v>
      </c>
      <c r="U37" s="77"/>
      <c r="V37" s="76">
        <f>+W14</f>
        <v>89.7</v>
      </c>
      <c r="W37" s="21">
        <f>+W15</f>
        <v>53</v>
      </c>
      <c r="X37" s="77">
        <f>+X14/(+V37+X14)</f>
        <v>0.003001000333444482</v>
      </c>
      <c r="Y37" s="78">
        <f>+X15/(+W37+X15)</f>
        <v>0.0015071590052750565</v>
      </c>
      <c r="Z37" s="77"/>
      <c r="AA37" s="76">
        <f>+AB14</f>
        <v>190.8</v>
      </c>
      <c r="AB37" s="21">
        <f>+AB15</f>
        <v>97.4</v>
      </c>
      <c r="AC37" s="77">
        <f>+AC14/(+AA37+AC14)</f>
        <v>0.008625168866257924</v>
      </c>
      <c r="AD37" s="78">
        <f>+AC15/(+AB37+AC15)</f>
        <v>0.00965937976614133</v>
      </c>
      <c r="AE37" s="77"/>
      <c r="AF37" s="76">
        <f>+AG14</f>
        <v>236</v>
      </c>
      <c r="AG37" s="21">
        <f>+AG15</f>
        <v>154.9</v>
      </c>
      <c r="AH37" s="77">
        <f>+AH14/(+AF37+AH14)</f>
        <v>0.0011427604012358742</v>
      </c>
      <c r="AI37" s="78">
        <f>+AH15/(+AG37+AH15)</f>
        <v>0.0009029927760577916</v>
      </c>
      <c r="AJ37" s="77"/>
      <c r="AK37" s="76">
        <f>+AL14</f>
        <v>321</v>
      </c>
      <c r="AL37" s="21">
        <f>+AL15</f>
        <v>183.3</v>
      </c>
      <c r="AM37" s="77">
        <f>+AM14/(+AK37+AM14)</f>
        <v>0.009320412320227147</v>
      </c>
      <c r="AN37" s="78">
        <f>+AM15/(+AL37+AM15)</f>
        <v>0.008331529971867561</v>
      </c>
      <c r="AO37" s="77"/>
      <c r="AP37" s="76">
        <f>+AQ14</f>
        <v>156.4</v>
      </c>
      <c r="AQ37" s="21">
        <f>+AQ15</f>
        <v>139.1</v>
      </c>
      <c r="AR37" s="77">
        <f>+AR14/(+AP37+AR14)</f>
        <v>0.0007028304900645326</v>
      </c>
      <c r="AS37" s="78">
        <f>+AR15/(+AQ37+AR15)</f>
        <v>0.00043115837884449555</v>
      </c>
      <c r="AT37" s="60"/>
    </row>
    <row r="38" spans="1:21" ht="13.5" thickBot="1">
      <c r="A38" s="79"/>
      <c r="B38" s="63"/>
      <c r="C38" s="63"/>
      <c r="D38" s="64"/>
      <c r="E38" s="64"/>
      <c r="F38" s="18"/>
      <c r="G38" s="18"/>
      <c r="H38" s="67"/>
      <c r="I38" s="67"/>
      <c r="J38" s="18"/>
      <c r="K38" s="18"/>
      <c r="L38" s="67"/>
      <c r="M38" s="67"/>
      <c r="N38" s="18"/>
      <c r="O38" s="18"/>
      <c r="P38" s="67"/>
      <c r="Q38" s="67"/>
      <c r="R38" s="18"/>
      <c r="S38" s="18"/>
      <c r="T38" s="67"/>
      <c r="U38" s="67"/>
    </row>
    <row r="39" spans="1:46" ht="13.5" thickTop="1">
      <c r="A39" s="80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2"/>
    </row>
    <row r="40" spans="1:46" ht="18.75" thickBot="1">
      <c r="A40" s="83"/>
      <c r="B40" s="84" t="s">
        <v>51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4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6"/>
    </row>
    <row r="41" spans="1:46" ht="39" thickTop="1">
      <c r="A41" s="144" t="s">
        <v>34</v>
      </c>
      <c r="B41" s="87" t="s">
        <v>35</v>
      </c>
      <c r="C41" s="88"/>
      <c r="D41" s="89" t="s">
        <v>52</v>
      </c>
      <c r="E41" s="89"/>
      <c r="F41" s="85"/>
      <c r="G41" s="90" t="s">
        <v>36</v>
      </c>
      <c r="H41" s="88"/>
      <c r="I41" s="89" t="s">
        <v>52</v>
      </c>
      <c r="J41" s="89"/>
      <c r="K41" s="85"/>
      <c r="L41" s="90" t="s">
        <v>37</v>
      </c>
      <c r="M41" s="88"/>
      <c r="N41" s="89" t="s">
        <v>52</v>
      </c>
      <c r="O41" s="89"/>
      <c r="P41" s="85"/>
      <c r="Q41" s="90" t="s">
        <v>38</v>
      </c>
      <c r="R41" s="88"/>
      <c r="S41" s="89" t="s">
        <v>52</v>
      </c>
      <c r="T41" s="89"/>
      <c r="U41" s="85"/>
      <c r="V41" s="90" t="s">
        <v>39</v>
      </c>
      <c r="W41" s="88"/>
      <c r="X41" s="91" t="s">
        <v>52</v>
      </c>
      <c r="Y41" s="89"/>
      <c r="Z41" s="85"/>
      <c r="AA41" s="90" t="s">
        <v>40</v>
      </c>
      <c r="AB41" s="88"/>
      <c r="AC41" s="91" t="s">
        <v>52</v>
      </c>
      <c r="AD41" s="89"/>
      <c r="AE41" s="85"/>
      <c r="AF41" s="90" t="s">
        <v>79</v>
      </c>
      <c r="AG41" s="88"/>
      <c r="AH41" s="91" t="s">
        <v>52</v>
      </c>
      <c r="AI41" s="89"/>
      <c r="AJ41" s="85"/>
      <c r="AK41" s="90" t="s">
        <v>41</v>
      </c>
      <c r="AL41" s="88"/>
      <c r="AM41" s="91" t="s">
        <v>52</v>
      </c>
      <c r="AN41" s="89"/>
      <c r="AO41" s="85"/>
      <c r="AP41" s="90" t="s">
        <v>42</v>
      </c>
      <c r="AQ41" s="88"/>
      <c r="AR41" s="91" t="s">
        <v>52</v>
      </c>
      <c r="AS41" s="89"/>
      <c r="AT41" s="92"/>
    </row>
    <row r="42" spans="1:46" ht="12.75">
      <c r="A42" s="145"/>
      <c r="B42" s="93" t="s">
        <v>53</v>
      </c>
      <c r="C42" s="94" t="s">
        <v>54</v>
      </c>
      <c r="D42" s="95">
        <v>42555.9</v>
      </c>
      <c r="E42" s="95"/>
      <c r="F42" s="85"/>
      <c r="G42" s="93" t="s">
        <v>53</v>
      </c>
      <c r="H42" s="94" t="s">
        <v>54</v>
      </c>
      <c r="I42" s="95">
        <v>2022.1</v>
      </c>
      <c r="J42" s="95"/>
      <c r="K42" s="85"/>
      <c r="L42" s="93" t="s">
        <v>53</v>
      </c>
      <c r="M42" s="94" t="s">
        <v>54</v>
      </c>
      <c r="N42" s="95">
        <v>2920.1</v>
      </c>
      <c r="O42" s="95"/>
      <c r="P42" s="85"/>
      <c r="Q42" s="93" t="s">
        <v>53</v>
      </c>
      <c r="R42" s="94" t="s">
        <v>54</v>
      </c>
      <c r="S42" s="95">
        <v>381.1</v>
      </c>
      <c r="T42" s="95"/>
      <c r="U42" s="85"/>
      <c r="V42" s="93" t="s">
        <v>53</v>
      </c>
      <c r="W42" s="94" t="s">
        <v>54</v>
      </c>
      <c r="X42" s="96">
        <v>77.1</v>
      </c>
      <c r="Y42" s="95"/>
      <c r="Z42" s="4"/>
      <c r="AA42" s="93" t="s">
        <v>53</v>
      </c>
      <c r="AB42" s="94" t="s">
        <v>54</v>
      </c>
      <c r="AC42" s="96">
        <v>252</v>
      </c>
      <c r="AD42" s="95"/>
      <c r="AE42" s="85"/>
      <c r="AF42" s="93" t="s">
        <v>53</v>
      </c>
      <c r="AG42" s="94" t="s">
        <v>54</v>
      </c>
      <c r="AH42" s="96">
        <v>204</v>
      </c>
      <c r="AI42" s="95"/>
      <c r="AJ42" s="4"/>
      <c r="AK42" s="93" t="s">
        <v>53</v>
      </c>
      <c r="AL42" s="94" t="s">
        <v>54</v>
      </c>
      <c r="AM42" s="96">
        <v>279</v>
      </c>
      <c r="AN42" s="95"/>
      <c r="AO42" s="85"/>
      <c r="AP42" s="93" t="s">
        <v>53</v>
      </c>
      <c r="AQ42" s="94" t="s">
        <v>54</v>
      </c>
      <c r="AR42" s="96">
        <v>108</v>
      </c>
      <c r="AS42" s="95"/>
      <c r="AT42" s="97"/>
    </row>
    <row r="43" spans="1:46" ht="12.75">
      <c r="A43" s="98" t="s">
        <v>47</v>
      </c>
      <c r="B43" s="99">
        <f>((+D31*100)-(E31*100))/(+B31-C31)</f>
        <v>5.086612866058239E-06</v>
      </c>
      <c r="C43" s="100">
        <f>((((+E31*100)*B31)-((+D31*100)*C31)))/(+B31-C31)</f>
        <v>2.006384907327624</v>
      </c>
      <c r="D43" s="95">
        <f>(+$D$42*B43)+C43</f>
        <v>2.2228502957943115</v>
      </c>
      <c r="E43" s="95"/>
      <c r="F43" s="85"/>
      <c r="G43" s="99">
        <f>((+I31*100)-(J31*100))/(+G31-H31)</f>
        <v>-0.00023939274286795912</v>
      </c>
      <c r="H43" s="100">
        <f>((((+J31*100)*G31)-((+I31*100)*H31)))/(+G31-H31)</f>
        <v>2.7699010098601438</v>
      </c>
      <c r="I43" s="95">
        <f>(+$I$42*G43)+H43</f>
        <v>2.2858249445068437</v>
      </c>
      <c r="J43" s="95"/>
      <c r="K43" s="85"/>
      <c r="L43" s="99">
        <f>((+N31*100)-(O31*100))/(+L31-M31)</f>
        <v>4.045013277103464E-05</v>
      </c>
      <c r="M43" s="100">
        <f>((((+O31*100)*L31)-((+N31*100)*M31)))/(+L31-M31)</f>
        <v>0.3840288824366882</v>
      </c>
      <c r="N43" s="95">
        <f>(+$N$42*L43)+M43</f>
        <v>0.5021473151413864</v>
      </c>
      <c r="O43" s="95"/>
      <c r="P43" s="85"/>
      <c r="Q43" s="99">
        <f>((+S31*100)-(T31*100))/(+Q31-R31)</f>
        <v>0.0011556417592777227</v>
      </c>
      <c r="R43" s="100">
        <f>((((+T31*100)*Q31)-((+S31*100)*R31)))/(+Q31-R31)</f>
        <v>0.4663623988700755</v>
      </c>
      <c r="S43" s="95">
        <f>(+$S$42*Q43)+R43</f>
        <v>0.9067774733308157</v>
      </c>
      <c r="T43" s="95"/>
      <c r="U43" s="85"/>
      <c r="V43" s="99">
        <f>((+X31*100)-(Y31*100))/(+V31-W31)</f>
        <v>0.004086414812486195</v>
      </c>
      <c r="W43" s="100">
        <f>((((+Y31*100)*V31)-((+X31*100)*W31)))/(+V31-W31)</f>
        <v>-0.05410350982064522</v>
      </c>
      <c r="X43" s="96">
        <f>(+$X$42*V43)+W43</f>
        <v>0.2609590722220404</v>
      </c>
      <c r="Y43" s="95"/>
      <c r="Z43" s="4"/>
      <c r="AA43" s="99">
        <f>((+AC31*100)-(AD31*100))/(+AA31-AB31)</f>
        <v>0.000566680353974844</v>
      </c>
      <c r="AB43" s="100">
        <f>((((+AD31*100)*AA31)-((+AC31*100)*AB31)))/(+AA31-AB31)</f>
        <v>0.5660426372379976</v>
      </c>
      <c r="AC43" s="96">
        <f>(+$AC$42*AA43)+AB43</f>
        <v>0.7088460864396583</v>
      </c>
      <c r="AD43" s="95"/>
      <c r="AE43" s="85"/>
      <c r="AF43" s="99">
        <f>((+AH31*100)-(AI31*100))/(+AF31-AG31)</f>
        <v>0.0003349701990728819</v>
      </c>
      <c r="AG43" s="100">
        <f>((((+AI31*100)*AF31)-((+AH31*100)*AG31)))/(+AF31-AG31)</f>
        <v>0.030995284944644316</v>
      </c>
      <c r="AH43" s="96">
        <f>(+$AH$42*AF43)+AG43</f>
        <v>0.09932920555551222</v>
      </c>
      <c r="AI43" s="95"/>
      <c r="AJ43" s="4"/>
      <c r="AK43" s="99">
        <f>((+AM31*100)-(AN31*100))/(+AK31-AL31)</f>
        <v>0.0024000989647663612</v>
      </c>
      <c r="AL43" s="100">
        <f>((((+AN31*100)*AK31)-((+AM31*100)*AL31)))/(+AK31-AL31)</f>
        <v>0.055959518619817135</v>
      </c>
      <c r="AM43" s="96">
        <f>(+$AM$42*AK43)+AL43</f>
        <v>0.7255871297896319</v>
      </c>
      <c r="AN43" s="95"/>
      <c r="AO43" s="85"/>
      <c r="AP43" s="99">
        <f>((+AR31*100)-(AS31*100))/(+AP31-AQ31)</f>
        <v>0.0002313748328924437</v>
      </c>
      <c r="AQ43" s="100">
        <f>((((+AS31*100)*AP31)-((+AR31*100)*AQ31)))/(+AP31-AQ31)</f>
        <v>0.035459140346905935</v>
      </c>
      <c r="AR43" s="96">
        <f>(+$AR$42*AP43)+AQ43</f>
        <v>0.06044762229928985</v>
      </c>
      <c r="AS43" s="95"/>
      <c r="AT43" s="97"/>
    </row>
    <row r="44" spans="1:46" ht="12.75">
      <c r="A44" s="101"/>
      <c r="B44" s="99"/>
      <c r="C44" s="100"/>
      <c r="D44" s="95"/>
      <c r="E44" s="95"/>
      <c r="F44" s="85"/>
      <c r="G44" s="99"/>
      <c r="H44" s="100"/>
      <c r="I44" s="95"/>
      <c r="J44" s="95"/>
      <c r="K44" s="85"/>
      <c r="L44" s="99"/>
      <c r="M44" s="100"/>
      <c r="N44" s="95"/>
      <c r="O44" s="95"/>
      <c r="P44" s="85"/>
      <c r="Q44" s="99"/>
      <c r="R44" s="100"/>
      <c r="S44" s="95"/>
      <c r="T44" s="95"/>
      <c r="U44" s="85"/>
      <c r="V44" s="99"/>
      <c r="W44" s="100"/>
      <c r="X44" s="96"/>
      <c r="Y44" s="95"/>
      <c r="Z44" s="4"/>
      <c r="AA44" s="99"/>
      <c r="AB44" s="100"/>
      <c r="AC44" s="96"/>
      <c r="AD44" s="95"/>
      <c r="AE44" s="85"/>
      <c r="AF44" s="99"/>
      <c r="AG44" s="100"/>
      <c r="AH44" s="96"/>
      <c r="AI44" s="95"/>
      <c r="AJ44" s="4"/>
      <c r="AK44" s="99"/>
      <c r="AL44" s="100"/>
      <c r="AM44" s="96"/>
      <c r="AN44" s="95"/>
      <c r="AO44" s="85"/>
      <c r="AP44" s="99"/>
      <c r="AQ44" s="100"/>
      <c r="AR44" s="96"/>
      <c r="AS44" s="95"/>
      <c r="AT44" s="97"/>
    </row>
    <row r="45" spans="1:46" ht="12.75">
      <c r="A45" s="102" t="s">
        <v>48</v>
      </c>
      <c r="B45" s="99">
        <f>((+D33*100)-(E33*100))/(+B33-C33)</f>
        <v>-1.0565097360576508E-05</v>
      </c>
      <c r="C45" s="100">
        <f>((((+E33*100)*B33)-((+D33*100)*C33)))/(+B33-C33)</f>
        <v>2.9843983140473456</v>
      </c>
      <c r="D45" s="95">
        <f>(+$D$42*B45)+C45</f>
        <v>2.5347910872803876</v>
      </c>
      <c r="E45" s="95"/>
      <c r="F45" s="85"/>
      <c r="G45" s="99">
        <f>((+I33*100)-(J33*100))/(+G33-H33)</f>
        <v>0.0001823251644513702</v>
      </c>
      <c r="H45" s="100">
        <f>((((+J33*100)*G33)-((+I33*100)*H33)))/(+G33-H33)</f>
        <v>1.894172234976922</v>
      </c>
      <c r="I45" s="95">
        <f>(+$I$42*G45)+H45</f>
        <v>2.2628519500140376</v>
      </c>
      <c r="J45" s="95"/>
      <c r="K45" s="85"/>
      <c r="L45" s="99">
        <f>((+N33*100)-(O33*100))/(+L33-M33)</f>
        <v>0.00010874705240177458</v>
      </c>
      <c r="M45" s="100">
        <f>((((+O33*100)*L33)-((+N33*100)*M33)))/(+L33-M33)</f>
        <v>0.18922899186495082</v>
      </c>
      <c r="N45" s="95">
        <f>(+$N$42*L45)+M45</f>
        <v>0.5067812595833727</v>
      </c>
      <c r="O45" s="95"/>
      <c r="P45" s="85"/>
      <c r="Q45" s="99">
        <f>((+S33*100)-(T33*100))/(+Q33-R33)</f>
        <v>0.001928392264307238</v>
      </c>
      <c r="R45" s="100">
        <f>((((+T33*100)*Q33)-((+S33*100)*R33)))/(+Q33-R33)</f>
        <v>0.17153254746416155</v>
      </c>
      <c r="S45" s="95">
        <f>(+$S$42*Q45)+R45</f>
        <v>0.9064428393916499</v>
      </c>
      <c r="T45" s="95"/>
      <c r="U45" s="85"/>
      <c r="V45" s="99">
        <f>((+X33*100)-(Y33*100))/(+V33-W33)</f>
        <v>0.005283522414668209</v>
      </c>
      <c r="W45" s="100">
        <f>((((+Y33*100)*V33)-((+X33*100)*W33)))/(+V33-W33)</f>
        <v>-0.1240754275111008</v>
      </c>
      <c r="X45" s="96">
        <f>(+$X$42*V45)+W45</f>
        <v>0.2832841506598181</v>
      </c>
      <c r="Y45" s="95"/>
      <c r="Z45" s="4"/>
      <c r="AA45" s="99">
        <f>((+AC33*100)-(AD33*100))/(+AA33-AB33)</f>
        <v>0.0008294497466849004</v>
      </c>
      <c r="AB45" s="100">
        <f>((((+AD33*100)*AA33)-((+AC33*100)*AB33)))/(+AA33-AB33)</f>
        <v>0.5690377047497401</v>
      </c>
      <c r="AC45" s="96">
        <f>(+$AC$42*AA45)+AB45</f>
        <v>0.7780590409143351</v>
      </c>
      <c r="AD45" s="95"/>
      <c r="AE45" s="85"/>
      <c r="AF45" s="99">
        <f>((+AH33*100)-(AI33*100))/(+AF33-AG33)</f>
        <v>0.0004451420147876842</v>
      </c>
      <c r="AG45" s="100">
        <f>((((+AI33*100)*AF33)-((+AH33*100)*AG33)))/(+AF33-AG33)</f>
        <v>-0.00510716445098525</v>
      </c>
      <c r="AH45" s="96">
        <f>(+$AH$42*AF45)+AG45</f>
        <v>0.08570180656570232</v>
      </c>
      <c r="AI45" s="95"/>
      <c r="AJ45" s="4"/>
      <c r="AK45" s="99">
        <f>((+AM33*100)-(AN33*100))/(+AK33-AL33)</f>
        <v>0.0019355807557376932</v>
      </c>
      <c r="AL45" s="100">
        <f>((((+AN33*100)*AK33)-((+AM33*100)*AL33)))/(+AK33-AL33)</f>
        <v>0.20390052306073614</v>
      </c>
      <c r="AM45" s="96">
        <f>(+$AM$42*AK45)+AL45</f>
        <v>0.7439275539115525</v>
      </c>
      <c r="AN45" s="95"/>
      <c r="AO45" s="85"/>
      <c r="AP45" s="99">
        <f>((+AR33*100)-(AS33*100))/(+AP33-AQ33)</f>
        <v>0.0001682335694764586</v>
      </c>
      <c r="AQ45" s="100">
        <f>((((+AS33*100)*AP33)-((+AR33*100)*AQ33)))/(+AP33-AQ33)</f>
        <v>0.018235081543630467</v>
      </c>
      <c r="AR45" s="96">
        <f>(+$AR$42*AP45)+AQ45</f>
        <v>0.036404307047088</v>
      </c>
      <c r="AS45" s="95"/>
      <c r="AT45" s="97"/>
    </row>
    <row r="46" spans="1:46" ht="12.75">
      <c r="A46" s="101"/>
      <c r="B46" s="99"/>
      <c r="C46" s="100"/>
      <c r="D46" s="95"/>
      <c r="E46" s="95"/>
      <c r="F46" s="85"/>
      <c r="G46" s="99"/>
      <c r="H46" s="100"/>
      <c r="I46" s="95"/>
      <c r="J46" s="95"/>
      <c r="K46" s="85"/>
      <c r="L46" s="99"/>
      <c r="M46" s="100"/>
      <c r="N46" s="95"/>
      <c r="O46" s="95"/>
      <c r="P46" s="85"/>
      <c r="Q46" s="99"/>
      <c r="R46" s="100"/>
      <c r="S46" s="95"/>
      <c r="T46" s="95"/>
      <c r="U46" s="85"/>
      <c r="V46" s="99"/>
      <c r="W46" s="100"/>
      <c r="X46" s="96"/>
      <c r="Y46" s="95"/>
      <c r="Z46" s="4"/>
      <c r="AA46" s="99"/>
      <c r="AB46" s="100"/>
      <c r="AC46" s="96"/>
      <c r="AD46" s="95"/>
      <c r="AE46" s="85"/>
      <c r="AF46" s="99"/>
      <c r="AG46" s="100"/>
      <c r="AH46" s="96"/>
      <c r="AI46" s="95"/>
      <c r="AJ46" s="4"/>
      <c r="AK46" s="99"/>
      <c r="AL46" s="100"/>
      <c r="AM46" s="96"/>
      <c r="AN46" s="95"/>
      <c r="AO46" s="85"/>
      <c r="AP46" s="99"/>
      <c r="AQ46" s="100"/>
      <c r="AR46" s="96"/>
      <c r="AS46" s="95"/>
      <c r="AT46" s="97"/>
    </row>
    <row r="47" spans="1:46" ht="12.75">
      <c r="A47" s="102" t="s">
        <v>49</v>
      </c>
      <c r="B47" s="99">
        <f>((+D35*100)-(E35*100))/(+B35-C35)</f>
        <v>-1.3530849980551584E-05</v>
      </c>
      <c r="C47" s="100">
        <f>((((+E35*100)*B35)-((+D35*100)*C35)))/(+B35-C35)</f>
        <v>2.8241745942817302</v>
      </c>
      <c r="D47" s="95">
        <f>(+$D$42*B47)+C47</f>
        <v>2.248357095594375</v>
      </c>
      <c r="E47" s="95"/>
      <c r="F47" s="85"/>
      <c r="G47" s="99">
        <f>((+I35*100)-(J35*100))/(+G35-H35)</f>
        <v>-0.0001843967846807771</v>
      </c>
      <c r="H47" s="100">
        <f>((((+J35*100)*G35)-((+I35*100)*H35)))/(+G35-H35)</f>
        <v>2.926791746530754</v>
      </c>
      <c r="I47" s="95">
        <f>(+$I$42*G47)+H47</f>
        <v>2.5539230082277546</v>
      </c>
      <c r="J47" s="95"/>
      <c r="K47" s="85"/>
      <c r="L47" s="99">
        <f>((+N35*100)-(O35*100))/(+L35-M35)</f>
        <v>-9.226928403118207E-06</v>
      </c>
      <c r="M47" s="100">
        <f>((((+O35*100)*L35)-((+N35*100)*M35)))/(+L35-M35)</f>
        <v>0.4616636744905971</v>
      </c>
      <c r="N47" s="95">
        <f>(+$N$42*L47)+M47</f>
        <v>0.4347201208606516</v>
      </c>
      <c r="O47" s="95"/>
      <c r="P47" s="85"/>
      <c r="Q47" s="99">
        <f>((+S35*100)-(T35*100))/(+Q35-R35)</f>
        <v>0.0012936092608546686</v>
      </c>
      <c r="R47" s="100">
        <f>((((+T35*100)*Q35)-((+S35*100)*R35)))/(+Q35-R35)</f>
        <v>0.20618236699869372</v>
      </c>
      <c r="S47" s="95">
        <f>(+$S$42*Q47)+R47</f>
        <v>0.6991768563104079</v>
      </c>
      <c r="T47" s="95"/>
      <c r="U47" s="85"/>
      <c r="V47" s="99">
        <f>((+X35*100)-(Y35*100))/(+V35-W35)</f>
        <v>0.005085460494074729</v>
      </c>
      <c r="W47" s="100">
        <f>((((+Y35*100)*V35)-((+X35*100)*W35)))/(+V35-W35)</f>
        <v>-0.13501124700541325</v>
      </c>
      <c r="X47" s="96">
        <f>(+$X$42*V47)+W47</f>
        <v>0.25707775708774827</v>
      </c>
      <c r="Y47" s="95"/>
      <c r="Z47" s="4"/>
      <c r="AA47" s="99">
        <f>((+AC35*100)-(AD35*100))/(+AA35-AB35)</f>
        <v>3.670920233319976E-05</v>
      </c>
      <c r="AB47" s="100">
        <f>((((+AD35*100)*AA35)-((+AC35*100)*AB35)))/(+AA35-AB35)</f>
        <v>0.6708649553795059</v>
      </c>
      <c r="AC47" s="96">
        <f>(+$AC$42*AA47)+AB47</f>
        <v>0.6801156743674722</v>
      </c>
      <c r="AD47" s="95"/>
      <c r="AE47" s="85"/>
      <c r="AF47" s="99">
        <f>((+AH35*100)-(AI35*100))/(+AF35-AG35)</f>
        <v>0.00022207755145895844</v>
      </c>
      <c r="AG47" s="100">
        <f>((((+AI35*100)*AF35)-((+AH35*100)*AG35)))/(+AF35-AG35)</f>
        <v>0.0556737658239777</v>
      </c>
      <c r="AH47" s="96">
        <f>(+$AH$42*AF47)+AG47</f>
        <v>0.10097758632160522</v>
      </c>
      <c r="AI47" s="95"/>
      <c r="AJ47" s="4"/>
      <c r="AK47" s="99">
        <f>((+AM35*100)-(AN35*100))/(+AK35-AL35)</f>
        <v>0.0010790261281095617</v>
      </c>
      <c r="AL47" s="100">
        <f>((((+AN35*100)*AK35)-((+AM35*100)*AL35)))/(+AK35-AL35)</f>
        <v>0.4439380487335548</v>
      </c>
      <c r="AM47" s="96">
        <f>(+$AM$42*AK47)+AL47</f>
        <v>0.7449863384761225</v>
      </c>
      <c r="AN47" s="95"/>
      <c r="AO47" s="85"/>
      <c r="AP47" s="99">
        <f>((+AR35*100)-(AS35*100))/(+AP35-AQ35)</f>
        <v>9.579636426684508E-05</v>
      </c>
      <c r="AQ47" s="100">
        <f>((((+AS35*100)*AP35)-((+AR35*100)*AQ35)))/(+AP35-AQ35)</f>
        <v>0.045087907959229866</v>
      </c>
      <c r="AR47" s="96">
        <f>(+$AR$42*AP47)+AQ47</f>
        <v>0.05543391530004914</v>
      </c>
      <c r="AS47" s="95"/>
      <c r="AT47" s="97"/>
    </row>
    <row r="48" spans="1:46" ht="12.75">
      <c r="A48" s="83"/>
      <c r="B48" s="99"/>
      <c r="C48" s="100"/>
      <c r="D48" s="95"/>
      <c r="E48" s="95"/>
      <c r="F48" s="85"/>
      <c r="G48" s="99"/>
      <c r="H48" s="100"/>
      <c r="I48" s="95"/>
      <c r="J48" s="95"/>
      <c r="K48" s="85"/>
      <c r="L48" s="99"/>
      <c r="M48" s="100"/>
      <c r="N48" s="95"/>
      <c r="O48" s="95"/>
      <c r="P48" s="85"/>
      <c r="Q48" s="99"/>
      <c r="R48" s="100"/>
      <c r="S48" s="95"/>
      <c r="T48" s="95"/>
      <c r="U48" s="85"/>
      <c r="V48" s="99"/>
      <c r="W48" s="100"/>
      <c r="X48" s="96"/>
      <c r="Y48" s="95"/>
      <c r="Z48" s="4"/>
      <c r="AA48" s="99"/>
      <c r="AB48" s="100"/>
      <c r="AC48" s="96"/>
      <c r="AD48" s="95"/>
      <c r="AE48" s="85"/>
      <c r="AF48" s="99"/>
      <c r="AG48" s="100"/>
      <c r="AH48" s="96"/>
      <c r="AI48" s="95"/>
      <c r="AJ48" s="4"/>
      <c r="AK48" s="99"/>
      <c r="AL48" s="100"/>
      <c r="AM48" s="96"/>
      <c r="AN48" s="95"/>
      <c r="AO48" s="85"/>
      <c r="AP48" s="99"/>
      <c r="AQ48" s="100"/>
      <c r="AR48" s="96"/>
      <c r="AS48" s="95"/>
      <c r="AT48" s="97"/>
    </row>
    <row r="49" spans="1:46" ht="13.5" thickBot="1">
      <c r="A49" s="103" t="s">
        <v>50</v>
      </c>
      <c r="B49" s="104">
        <f>((+D37*100)-(E37*100))/(+B37-C37)</f>
        <v>-6.4833044281373276E-06</v>
      </c>
      <c r="C49" s="105">
        <f>((((+E37*100)*B37)-((+D37*100)*C37)))/(+B37-C37)</f>
        <v>2.586187353015759</v>
      </c>
      <c r="D49" s="95">
        <f>(+$D$42*B49)+C49</f>
        <v>2.31028449810239</v>
      </c>
      <c r="E49" s="95"/>
      <c r="F49" s="85"/>
      <c r="G49" s="104">
        <f>((+I37*100)-(J37*100))/(+G37-H37)</f>
        <v>-9.891904932385778E-06</v>
      </c>
      <c r="H49" s="105">
        <f>((((+J37*100)*G37)-((+I37*100)*H37)))/(+G37-H37)</f>
        <v>2.077267441205422</v>
      </c>
      <c r="I49" s="95">
        <f>(+$I$42*G49)+H49</f>
        <v>2.0572650202416445</v>
      </c>
      <c r="J49" s="95"/>
      <c r="K49" s="85"/>
      <c r="L49" s="104">
        <f>((+N37*100)-(O37*100))/(+L37-M37)</f>
        <v>4.628938557274662E-06</v>
      </c>
      <c r="M49" s="105">
        <f>((((+O37*100)*L37)-((+N37*100)*M37)))/(+L37-M37)</f>
        <v>0.4097353988653674</v>
      </c>
      <c r="N49" s="95">
        <f>(+$N$42*L49)+M49</f>
        <v>0.4232523623464652</v>
      </c>
      <c r="O49" s="95"/>
      <c r="P49" s="85"/>
      <c r="Q49" s="104">
        <f>((+S37*100)-(T37*100))/(+Q37-R37)</f>
        <v>0.0013597432158008527</v>
      </c>
      <c r="R49" s="105">
        <f>((((+T37*100)*Q37)-((+S37*100)*R37)))/(+Q37-R37)</f>
        <v>0.3015722146918922</v>
      </c>
      <c r="S49" s="95">
        <f>(+$S$42*Q49)+R49</f>
        <v>0.8197703542335972</v>
      </c>
      <c r="T49" s="95"/>
      <c r="U49" s="85"/>
      <c r="V49" s="104">
        <f>((+X37*100)-(Y37*100))/(+V37-W37)</f>
        <v>0.0040704123383363084</v>
      </c>
      <c r="W49" s="105">
        <f>((((+Y37*100)*V37)-((+X37*100)*W37)))/(+V37-W37)</f>
        <v>-0.06501595340431865</v>
      </c>
      <c r="X49" s="96">
        <f>(+$X$42*V49)+W49</f>
        <v>0.24881283788141073</v>
      </c>
      <c r="Y49" s="95"/>
      <c r="Z49" s="4"/>
      <c r="AA49" s="104">
        <f>((+AC37*100)-(AD37*100))/(+AA37-AB37)</f>
        <v>-0.0011072921840293432</v>
      </c>
      <c r="AB49" s="105">
        <f>((((+AD37*100)*AA37)-((+AC37*100)*AB37)))/(+AA37-AB37)</f>
        <v>1.073788235338591</v>
      </c>
      <c r="AC49" s="96">
        <f>(+$AC$42*AA49)+AB49</f>
        <v>0.7947506049631965</v>
      </c>
      <c r="AD49" s="95"/>
      <c r="AE49" s="85"/>
      <c r="AF49" s="104">
        <f>((+AH37*100)-(AI37*100))/(+AF37-AG37)</f>
        <v>0.0002956444206881414</v>
      </c>
      <c r="AG49" s="105">
        <f>((((+AI37*100)*AF37)-((+AH37*100)*AG37)))/(+AF37-AG37)</f>
        <v>0.04450395684118605</v>
      </c>
      <c r="AH49" s="96">
        <f>(+$AH$42*AF49)+AG49</f>
        <v>0.10481541866156689</v>
      </c>
      <c r="AI49" s="95"/>
      <c r="AJ49" s="4"/>
      <c r="AK49" s="104">
        <f>((+AM37*100)-(AN37*100))/(+AK37-AL37)</f>
        <v>0.0007181425914012975</v>
      </c>
      <c r="AL49" s="105">
        <f>((((+AN37*100)*AK37)-((+AM37*100)*AL37)))/(+AK37-AL37)</f>
        <v>0.7015174601828982</v>
      </c>
      <c r="AM49" s="96">
        <f>(+$AM$42*AK49)+AL49</f>
        <v>0.9018792431838601</v>
      </c>
      <c r="AN49" s="95"/>
      <c r="AO49" s="85"/>
      <c r="AP49" s="104">
        <f>((+AR37*100)-(AS37*100))/(+AP37-AQ37)</f>
        <v>0.0015703590243932766</v>
      </c>
      <c r="AQ49" s="105">
        <f>((((+AS37*100)*AP37)-((+AR37*100)*AQ37)))/(+AP37-AQ37)</f>
        <v>-0.1753211024086552</v>
      </c>
      <c r="AR49" s="96">
        <f>(+$AR$42*AP49)+AQ49</f>
        <v>-0.005722327774181329</v>
      </c>
      <c r="AS49" s="95"/>
      <c r="AT49" s="97"/>
    </row>
    <row r="50" spans="1:46" ht="14.25" thickBot="1" thickTop="1">
      <c r="A50" s="106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4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8"/>
    </row>
    <row r="51" ht="13.5" thickTop="1">
      <c r="AC51" s="109"/>
    </row>
    <row r="52" ht="12.75">
      <c r="B52" s="110"/>
    </row>
  </sheetData>
  <mergeCells count="2">
    <mergeCell ref="A29:A30"/>
    <mergeCell ref="A41:A4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ERCOT</dc:creator>
  <cp:keywords/>
  <dc:description>This File is same as 2009TransmissionLossFactors_Pass4.xls  Planning Internal File.</dc:description>
  <cp:lastModifiedBy>Raja</cp:lastModifiedBy>
  <cp:lastPrinted>2007-09-07T13:52:48Z</cp:lastPrinted>
  <dcterms:created xsi:type="dcterms:W3CDTF">2003-09-08T13:51:07Z</dcterms:created>
  <dcterms:modified xsi:type="dcterms:W3CDTF">2008-12-10T14:28:50Z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1335580671</vt:i4>
  </property>
  <property fmtid="{D5CDD505-2E9C-101B-9397-08002B2CF9AE}" pid="4" name="_NewReviewCyc">
    <vt:lpwstr/>
  </property>
  <property fmtid="{D5CDD505-2E9C-101B-9397-08002B2CF9AE}" pid="5" name="_EmailSubje">
    <vt:lpwstr>2009 Transmission Loss Factor Calculations - Final</vt:lpwstr>
  </property>
  <property fmtid="{D5CDD505-2E9C-101B-9397-08002B2CF9AE}" pid="6" name="_AuthorEma">
    <vt:lpwstr>rkakarla@ercot.com</vt:lpwstr>
  </property>
  <property fmtid="{D5CDD505-2E9C-101B-9397-08002B2CF9AE}" pid="7" name="_AuthorEmailDisplayNa">
    <vt:lpwstr>Kakarla, Raja Sekhar</vt:lpwstr>
  </property>
</Properties>
</file>