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650" windowHeight="9360" tabRatio="871" activeTab="3"/>
  </bookViews>
  <sheets>
    <sheet name="Beta Results" sheetId="1" r:id="rId1"/>
    <sheet name=" ICCP Results" sheetId="2" r:id="rId2"/>
    <sheet name="P2P Estimates" sheetId="3" r:id="rId3"/>
    <sheet name="P2P Schedule" sheetId="4" r:id="rId4"/>
    <sheet name="P2P Contacts List" sheetId="5" r:id="rId5"/>
    <sheet name="P2P Results" sheetId="6" r:id="rId6"/>
  </sheets>
  <definedNames>
    <definedName name="_xlnm.Print_Area" localSheetId="1">' ICCP Results'!$A$1:$H$41</definedName>
    <definedName name="_xlnm.Print_Area" localSheetId="0">'Beta Results'!$A$1:$W$76</definedName>
    <definedName name="_xlnm.Print_Area" localSheetId="2">'P2P Estimates'!$A$1:$R$41</definedName>
    <definedName name="_xlnm.Print_Area" localSheetId="5">'P2P Results'!$A$1:$U$41</definedName>
    <definedName name="_xlnm.Print_Area" localSheetId="3">'P2P Schedule'!$A$1:$EO$53</definedName>
    <definedName name="_xlnm.Print_Titles" localSheetId="3">'P2P Schedule'!$1:$3</definedName>
  </definedNames>
  <calcPr fullCalcOnLoad="1"/>
</workbook>
</file>

<file path=xl/sharedStrings.xml><?xml version="1.0" encoding="utf-8"?>
<sst xmlns="http://schemas.openxmlformats.org/spreadsheetml/2006/main" count="788" uniqueCount="221">
  <si>
    <t>QSE</t>
  </si>
  <si>
    <t>TOTAL</t>
  </si>
  <si>
    <t>Denton Municipal Electric</t>
  </si>
  <si>
    <t>Garland Power and Light</t>
  </si>
  <si>
    <t>TSP</t>
  </si>
  <si>
    <t xml:space="preserve"> </t>
  </si>
  <si>
    <t xml:space="preserve">  Missing Points</t>
  </si>
  <si>
    <t xml:space="preserve">  Mis-Mapped Points</t>
  </si>
  <si>
    <t xml:space="preserve">  Polarity Reversed</t>
  </si>
  <si>
    <t xml:space="preserve">  Missing Equipment on Network Model</t>
  </si>
  <si>
    <t>Dansby</t>
  </si>
  <si>
    <t xml:space="preserve">  Point not Directly Routed to ERCOT</t>
  </si>
  <si>
    <t>Onion</t>
  </si>
  <si>
    <t>McNeil</t>
  </si>
  <si>
    <t xml:space="preserve">  ERCOT # of Errors Found</t>
  </si>
  <si>
    <t>Station</t>
  </si>
  <si>
    <t>AEN - Austin Energy</t>
  </si>
  <si>
    <t>AEP - American Electric Power</t>
  </si>
  <si>
    <t>BEC - Brazos Electric Coop</t>
  </si>
  <si>
    <t>BTU - Bryan Texas Utilities</t>
  </si>
  <si>
    <t>CPE - CenterPoint Energy</t>
  </si>
  <si>
    <t>CPS - City Public Services</t>
  </si>
  <si>
    <t>GEUS - Greenville</t>
  </si>
  <si>
    <t>LCRA - Lower Colorado River</t>
  </si>
  <si>
    <t>PUB - Brownsville Public Utilities</t>
  </si>
  <si>
    <t>RCEC - Rayburn County Electric</t>
  </si>
  <si>
    <t>STEC - South Texas Electric Coop</t>
  </si>
  <si>
    <t>TXU - Texas Utilities</t>
  </si>
  <si>
    <t xml:space="preserve">  Quality Code Issue - Not Field Telemeted</t>
  </si>
  <si>
    <t xml:space="preserve">  Quality Code Issue - Field Telemeted</t>
  </si>
  <si>
    <t>Braunig</t>
  </si>
  <si>
    <t>Leon Crk</t>
  </si>
  <si>
    <t>O'Brien</t>
  </si>
  <si>
    <t>Teasly</t>
  </si>
  <si>
    <t>Woodrow</t>
  </si>
  <si>
    <t>Nedin</t>
  </si>
  <si>
    <t>Riohondo</t>
  </si>
  <si>
    <t>Reliant</t>
  </si>
  <si>
    <t>Terso</t>
  </si>
  <si>
    <t>CBY</t>
  </si>
  <si>
    <t>WAP</t>
  </si>
  <si>
    <t>JAX</t>
  </si>
  <si>
    <t>Jewett</t>
  </si>
  <si>
    <t>Brand C</t>
  </si>
  <si>
    <t>Olinger</t>
  </si>
  <si>
    <t>Gideon</t>
  </si>
  <si>
    <t xml:space="preserve">   % of ERCOT Non-Quality Code Errors</t>
  </si>
  <si>
    <t>Loma Alt</t>
  </si>
  <si>
    <t>Silasray</t>
  </si>
  <si>
    <t>Pearsall</t>
  </si>
  <si>
    <t xml:space="preserve"> ERCOT Error SUMMARY</t>
  </si>
  <si>
    <t>MP</t>
  </si>
  <si>
    <t>APX</t>
  </si>
  <si>
    <t>Calpine Power Management</t>
  </si>
  <si>
    <t>Constellation Energy</t>
  </si>
  <si>
    <t>Coral Power</t>
  </si>
  <si>
    <t>Dynergy</t>
  </si>
  <si>
    <t>FPL</t>
  </si>
  <si>
    <t>Mirant Energy</t>
  </si>
  <si>
    <t>Occidental Power Services</t>
  </si>
  <si>
    <t>Suez Energy Marketing</t>
  </si>
  <si>
    <t>Tenaska Power Services</t>
  </si>
  <si>
    <t>x</t>
  </si>
  <si>
    <t>Basten</t>
  </si>
  <si>
    <t>Braz_wnd</t>
  </si>
  <si>
    <t>Formosa</t>
  </si>
  <si>
    <t>Rionog</t>
  </si>
  <si>
    <t>Sweetwnd</t>
  </si>
  <si>
    <t>TMPA - Texas Muni Power Auth</t>
  </si>
  <si>
    <t xml:space="preserve">   TOTAL % of ERCOT  Errors</t>
  </si>
  <si>
    <t>Lostpi</t>
  </si>
  <si>
    <t xml:space="preserve">   % of  Points Checked</t>
  </si>
  <si>
    <t xml:space="preserve">  # of Points Checked</t>
  </si>
  <si>
    <t xml:space="preserve">  # of Points to Check</t>
  </si>
  <si>
    <t xml:space="preserve"> Metrics</t>
  </si>
  <si>
    <t xml:space="preserve"> ERCOT Error Detail</t>
  </si>
  <si>
    <t>Green Bay</t>
  </si>
  <si>
    <t>Channel Vw</t>
  </si>
  <si>
    <t>TNMP - Texas New Mexico Pow</t>
  </si>
  <si>
    <t>Handley</t>
  </si>
  <si>
    <t>MCSES</t>
  </si>
  <si>
    <t>Exelon</t>
  </si>
  <si>
    <t xml:space="preserve">  MP Other Failure &lt;= 30 second recovery</t>
  </si>
  <si>
    <t xml:space="preserve">  MP Server Failure &lt;= 5 minute recovery</t>
  </si>
  <si>
    <t>NRG</t>
  </si>
  <si>
    <t>OXY - Occidental Power Svcs</t>
  </si>
  <si>
    <t>BYU</t>
  </si>
  <si>
    <t>Haysen</t>
  </si>
  <si>
    <t>MDANP</t>
  </si>
  <si>
    <t>ETCCS</t>
  </si>
  <si>
    <t>WCPP</t>
  </si>
  <si>
    <t>TNMP - Texas New Mex Power</t>
  </si>
  <si>
    <t xml:space="preserve">  % of Total Points</t>
  </si>
  <si>
    <t xml:space="preserve">  Verify</t>
  </si>
  <si>
    <t xml:space="preserve">  TEST Completed</t>
  </si>
  <si>
    <t>Garland**</t>
  </si>
  <si>
    <t>** Garland operates Greenville and TMPA - their testing has covered these stations</t>
  </si>
  <si>
    <t>GN_S_I</t>
  </si>
  <si>
    <t>TGCCS</t>
  </si>
  <si>
    <t>WHCCS</t>
  </si>
  <si>
    <t>FLCNS</t>
  </si>
  <si>
    <t>Inglcosw</t>
  </si>
  <si>
    <t>DIB</t>
  </si>
  <si>
    <t xml:space="preserve">  Quality Code Issue - Field Telemeter</t>
  </si>
  <si>
    <t xml:space="preserve">  Quality Code Issue - Not Field Telemeter</t>
  </si>
  <si>
    <t xml:space="preserve">  TOTAL % of ERCOT  Errors</t>
  </si>
  <si>
    <t xml:space="preserve">  % of ERCOT Non-Quality Code Errors</t>
  </si>
  <si>
    <t>Not in Nodal</t>
  </si>
  <si>
    <t>Calavers</t>
  </si>
  <si>
    <t>Jackcnty</t>
  </si>
  <si>
    <t>Duke</t>
  </si>
  <si>
    <t>Mil</t>
  </si>
  <si>
    <t>Sanmigl</t>
  </si>
  <si>
    <t>Lpccs</t>
  </si>
  <si>
    <t>Steam</t>
  </si>
  <si>
    <t>Emses</t>
  </si>
  <si>
    <t>Nlses</t>
  </si>
  <si>
    <t>Decker</t>
  </si>
  <si>
    <t>Holly</t>
  </si>
  <si>
    <t>Rdcanyon</t>
  </si>
  <si>
    <t>No test</t>
  </si>
  <si>
    <t xml:space="preserve">   Average Minutes to Complete per Point</t>
  </si>
  <si>
    <t xml:space="preserve">   Total Minutes to Complete</t>
  </si>
  <si>
    <t xml:space="preserve"> Estimating Metrics</t>
  </si>
  <si>
    <t xml:space="preserve">  Minutes per Point to Verify (Beta Results)</t>
  </si>
  <si>
    <t xml:space="preserve">  Station Count</t>
  </si>
  <si>
    <t xml:space="preserve">  Average Working Hours per Week</t>
  </si>
  <si>
    <t xml:space="preserve">  Existing Point Count (Zonal based)</t>
  </si>
  <si>
    <t xml:space="preserve"> Estimated Duration</t>
  </si>
  <si>
    <t xml:space="preserve">  New Point Count (Nodal based)</t>
  </si>
  <si>
    <t>M</t>
  </si>
  <si>
    <t>T</t>
  </si>
  <si>
    <t>W</t>
  </si>
  <si>
    <t>F</t>
  </si>
  <si>
    <t>S</t>
  </si>
  <si>
    <t>J u n e</t>
  </si>
  <si>
    <t>M a y</t>
  </si>
  <si>
    <t>J u l y</t>
  </si>
  <si>
    <t>A u g u s t</t>
  </si>
  <si>
    <t>S e p t e m b e r</t>
  </si>
  <si>
    <t xml:space="preserve">   Estimated Days</t>
  </si>
  <si>
    <t xml:space="preserve">  Estimated Weeks</t>
  </si>
  <si>
    <t xml:space="preserve">  Estimated Hours</t>
  </si>
  <si>
    <t>Days</t>
  </si>
  <si>
    <t xml:space="preserve">  Unit Resource Count (QSEs only)</t>
  </si>
  <si>
    <t xml:space="preserve">  Additional Unit Resource Points (30 new per)</t>
  </si>
  <si>
    <t xml:space="preserve">  Load Resource Count (QSEs only)</t>
  </si>
  <si>
    <t xml:space="preserve">  Additional Load Resource Points (30 new per)</t>
  </si>
  <si>
    <t>Hours</t>
  </si>
  <si>
    <t>QSE List</t>
  </si>
  <si>
    <t>TSP List</t>
  </si>
  <si>
    <t>TXU - Texas Utilities (stream 1)</t>
  </si>
  <si>
    <t>TXU - Texas Utilities (stream 2)</t>
  </si>
  <si>
    <t>TXU - Texas Utilities (stream 3)</t>
  </si>
  <si>
    <t>Nodal Points</t>
  </si>
  <si>
    <t>Primary Testing Contacts</t>
  </si>
  <si>
    <t>Frankie Thomas
Don Butchmueller</t>
  </si>
  <si>
    <t>Ken Chui
512-322-6745 w
ken.chui@austinenergy.com</t>
  </si>
  <si>
    <t>Dennis Kunkel
361-289-4003 w</t>
  </si>
  <si>
    <t>Dennis Sauriol
361-289-4006 w</t>
  </si>
  <si>
    <t>Ebby John
713-207-2136 w
ebby.john@centerpointenergy.com</t>
  </si>
  <si>
    <t>Trieu Vo
210-353-2127 w
tvo@cps-ems.com</t>
  </si>
  <si>
    <t>Chuck Sears
940-349-7111 w
cxsears@cityofdenton.com</t>
  </si>
  <si>
    <t>Brad Gibbons
brad.gibbons@cityofdenton.com</t>
  </si>
  <si>
    <t>Frank Owens
972-205-3003 w
franko@gplops.org</t>
  </si>
  <si>
    <t>Mark Stapp
903-457-2897
mstapp@geus.org</t>
  </si>
  <si>
    <t>Steven Schultz
512-473-3333 x2442
steven.schultz@lcra.org</t>
  </si>
  <si>
    <t>Gus Leal
956-983-6314 w
gcleal@brownsville-bv.com</t>
  </si>
  <si>
    <t>Juan Vasquez
956-983-6325 w 
jvasquez@brownsville-pub.com</t>
  </si>
  <si>
    <t xml:space="preserve">Eddy Reese
972-771-1336 c
ereece@rayburnelectric.com
</t>
  </si>
  <si>
    <t xml:space="preserve">Henry Wood
361-575-6491 w
hwood@stec.org
</t>
  </si>
  <si>
    <t>Paul Hybner
361-485-6281 w
paul@stec.org</t>
  </si>
  <si>
    <t>Joe Perez
936-873-1119
jperez@texsmpa.org</t>
  </si>
  <si>
    <t>David Grubbs
dlg@gplops.org</t>
  </si>
  <si>
    <t>Mike McMillan
979-821-5904 w
mmcmillan@btutilities.com</t>
  </si>
  <si>
    <t>Dwight Beckman
254-750-6357 w
dbeckman@brazoselectric.com</t>
  </si>
  <si>
    <t>Katherine Graham
408-986-2204 w
kgraham@apx.com</t>
  </si>
  <si>
    <t>Tony Kroskey
254-750-6357 w
tkroskey@brazoselectric.com</t>
  </si>
  <si>
    <t>Tom Hancock
979-821-5620 w
thancock@btuilities.com</t>
  </si>
  <si>
    <t>Scott Grooms
713-830-8924 w
sgrooms@calpine.com</t>
  </si>
  <si>
    <t>Darryl McLamb
410-468-3494 w
darryl.mclamb@constellation.com</t>
  </si>
  <si>
    <t>Steven Nguyen
713-230-5159 w
steve.nguyen@shell.com</t>
  </si>
  <si>
    <t>Kevin McEvoy
610-765-6755 w
kevin.mcevoy@exeloncorp.com</t>
  </si>
  <si>
    <t>John Mantyh
561-304-6150 w
jmantyh@fpl.com</t>
  </si>
  <si>
    <t>Jennifer Bucker
561-304-5525 w
561-262-2431 c
jennifer_bucker@fpl.com</t>
  </si>
  <si>
    <t>Bob Green
972-205-3048 w
bobg@gplops.org</t>
  </si>
  <si>
    <t xml:space="preserve">Naomi Richard
512-473-3200 x2354 w
nrichard@lcra.org
</t>
  </si>
  <si>
    <t xml:space="preserve">Brian Amberger
678-579-5000 w
brian.amberger@mirant.com
</t>
  </si>
  <si>
    <t>D.S. Mai
713-795-6011 w
d.s.mai@nrgenergy.com</t>
  </si>
  <si>
    <t>Francisco Luis
713-215-7418 w
francisco_luis@oxy.com</t>
  </si>
  <si>
    <t>Robert Thibeault
713-497-2107 w
rthibeault@reliant.com</t>
  </si>
  <si>
    <t>Cesar Seymour
713-636-1734 w
cesar.seymour@suezenergyna.com</t>
  </si>
  <si>
    <t>John Varnell
817-462-1037 w
jvarnell@tnsk.com</t>
  </si>
  <si>
    <t>Craig Ingerto
214-875-9186 w
craig.ingerto@txu.com</t>
  </si>
  <si>
    <t>Rick Keetch
281-635-4228 w
rkeetch@reliant.com</t>
  </si>
  <si>
    <t>Bill Wright
410-470-2280 w
443-690-3336 c
bwright@constellation.com</t>
  </si>
  <si>
    <t>Kevin Brown
512-322-6665 w
kevin.brown@austinenergy.com</t>
  </si>
  <si>
    <t>Chuck Johnson
254-750-6278 w
cjohnson@brazoelectric.com</t>
  </si>
  <si>
    <t>David Detelich
210-353-3037 w
djdetelich@cpsenergy.com
David Moreno, Jr.
DMoreno@CPSEnergy.com</t>
  </si>
  <si>
    <t>Lee Buckelew
210-353-5504 w
lbuckelew@cpsenergy.com</t>
  </si>
  <si>
    <t>Jian He
408-517-2176 w
408-674-7648 c
JHe@apx.com</t>
  </si>
  <si>
    <t>Sydney Niemeyer
713-795-6108 w
sydney.niemeyer@nrgenergy.com</t>
  </si>
  <si>
    <t>Ross Owen
214-743-6864
rowen@txued.com</t>
  </si>
  <si>
    <t>Sean McClure
713-636-1144 w
Sean.mcclure@suezenergyna.com</t>
  </si>
  <si>
    <t>Bob Logue
214-812-7085 w
bob.logue@txu.com</t>
  </si>
  <si>
    <t>Somdutt Behura
713-215-7362 w
Somdutt_Behura@oxy.com</t>
  </si>
  <si>
    <t>Richard Ross
918-599-2966 w
rross@aep.com
Trina Ross   
614-583-6244 w
tmross@aep.com</t>
  </si>
  <si>
    <t>Heidi Mansion
281-337-6589 x104
hmansion@tnpe.com</t>
  </si>
  <si>
    <t>CPE - CenterPoint Energy (stream 1)</t>
  </si>
  <si>
    <t>CPE - CenterPoint Energy (stream 2)</t>
  </si>
  <si>
    <t>CPE - CenterPoint Energy (stream 3 - as needed)</t>
  </si>
  <si>
    <t>Legend</t>
  </si>
  <si>
    <t>Brad B.
512-473-3333 x7547</t>
  </si>
  <si>
    <t>Makeup Time</t>
  </si>
  <si>
    <t>Prep Time</t>
  </si>
  <si>
    <t>Testing Time</t>
  </si>
  <si>
    <t>Proposed Test Time</t>
  </si>
  <si>
    <t xml:space="preserve">Stacey Woodard
512-322-6192 w
stacey.woodard@austinenergy.com
</t>
  </si>
  <si>
    <t>Richard Hoeninghaus</t>
  </si>
  <si>
    <t>Andy Ibarra
512-589-4542 w
Andy.Ibarra@austinenergy.com</t>
  </si>
  <si>
    <t>Don Blackburn
214-762-6159 c
dblackburn@txued.com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</si>
</sst>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409]h:mm:ss\ AM/PM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name val="Webdings"/>
      <family val="1"/>
    </font>
    <font>
      <i/>
      <sz val="10"/>
      <name val="Arial"/>
      <family val="2"/>
    </font>
    <font>
      <b/>
      <sz val="11"/>
      <color indexed="9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</fills>
  <borders count="5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/>
    </xf>
    <xf numFmtId="9" fontId="2" fillId="0" borderId="0" xfId="2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1" xfId="0" applyFont="1" applyBorder="1" applyAlignment="1">
      <alignment horizontal="left"/>
    </xf>
    <xf numFmtId="9" fontId="6" fillId="0" borderId="2" xfId="21" applyFont="1" applyFill="1" applyBorder="1" applyAlignment="1">
      <alignment/>
    </xf>
    <xf numFmtId="0" fontId="0" fillId="0" borderId="0" xfId="0" applyFont="1" applyAlignment="1">
      <alignment horizontal="center"/>
    </xf>
    <xf numFmtId="0" fontId="11" fillId="2" borderId="3" xfId="0" applyFont="1" applyFill="1" applyBorder="1" applyAlignment="1">
      <alignment horizontal="center" textRotation="75"/>
    </xf>
    <xf numFmtId="0" fontId="2" fillId="0" borderId="3" xfId="0" applyFont="1" applyBorder="1" applyAlignment="1">
      <alignment horizontal="center" textRotation="75"/>
    </xf>
    <xf numFmtId="0" fontId="10" fillId="2" borderId="4" xfId="0" applyFont="1" applyFill="1" applyBorder="1" applyAlignment="1">
      <alignment/>
    </xf>
    <xf numFmtId="0" fontId="0" fillId="3" borderId="4" xfId="0" applyFont="1" applyFill="1" applyBorder="1" applyAlignment="1" applyProtection="1">
      <alignment/>
      <protection locked="0"/>
    </xf>
    <xf numFmtId="0" fontId="0" fillId="3" borderId="5" xfId="0" applyFont="1" applyFill="1" applyBorder="1" applyAlignment="1" applyProtection="1">
      <alignment/>
      <protection locked="0"/>
    </xf>
    <xf numFmtId="0" fontId="10" fillId="2" borderId="6" xfId="0" applyFont="1" applyFill="1" applyBorder="1" applyAlignment="1">
      <alignment/>
    </xf>
    <xf numFmtId="0" fontId="0" fillId="3" borderId="6" xfId="0" applyFont="1" applyFill="1" applyBorder="1" applyAlignment="1" applyProtection="1">
      <alignment/>
      <protection locked="0"/>
    </xf>
    <xf numFmtId="0" fontId="0" fillId="3" borderId="7" xfId="0" applyFont="1" applyFill="1" applyBorder="1" applyAlignment="1" applyProtection="1">
      <alignment/>
      <protection locked="0"/>
    </xf>
    <xf numFmtId="0" fontId="10" fillId="2" borderId="8" xfId="0" applyFont="1" applyFill="1" applyBorder="1" applyAlignment="1">
      <alignment/>
    </xf>
    <xf numFmtId="0" fontId="0" fillId="3" borderId="8" xfId="0" applyFont="1" applyFill="1" applyBorder="1" applyAlignment="1" applyProtection="1">
      <alignment/>
      <protection locked="0"/>
    </xf>
    <xf numFmtId="0" fontId="0" fillId="3" borderId="9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>
      <alignment/>
    </xf>
    <xf numFmtId="0" fontId="0" fillId="3" borderId="10" xfId="0" applyFont="1" applyFill="1" applyBorder="1" applyAlignment="1" applyProtection="1">
      <alignment/>
      <protection locked="0"/>
    </xf>
    <xf numFmtId="1" fontId="2" fillId="0" borderId="0" xfId="21" applyNumberFormat="1" applyFont="1" applyFill="1" applyBorder="1" applyAlignment="1">
      <alignment/>
    </xf>
    <xf numFmtId="9" fontId="0" fillId="3" borderId="4" xfId="21" applyFont="1" applyFill="1" applyBorder="1" applyAlignment="1">
      <alignment/>
    </xf>
    <xf numFmtId="9" fontId="0" fillId="3" borderId="6" xfId="21" applyFont="1" applyFill="1" applyBorder="1" applyAlignment="1">
      <alignment/>
    </xf>
    <xf numFmtId="9" fontId="0" fillId="3" borderId="8" xfId="21" applyFont="1" applyFill="1" applyBorder="1" applyAlignment="1">
      <alignment/>
    </xf>
    <xf numFmtId="0" fontId="10" fillId="2" borderId="11" xfId="0" applyFont="1" applyFill="1" applyBorder="1" applyAlignment="1">
      <alignment/>
    </xf>
    <xf numFmtId="0" fontId="10" fillId="2" borderId="12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10" fillId="2" borderId="14" xfId="0" applyFont="1" applyFill="1" applyBorder="1" applyAlignment="1">
      <alignment/>
    </xf>
    <xf numFmtId="0" fontId="0" fillId="3" borderId="15" xfId="0" applyFont="1" applyFill="1" applyBorder="1" applyAlignment="1" applyProtection="1">
      <alignment/>
      <protection locked="0"/>
    </xf>
    <xf numFmtId="0" fontId="0" fillId="3" borderId="16" xfId="0" applyFont="1" applyFill="1" applyBorder="1" applyAlignment="1" applyProtection="1">
      <alignment/>
      <protection locked="0"/>
    </xf>
    <xf numFmtId="0" fontId="0" fillId="3" borderId="17" xfId="0" applyFont="1" applyFill="1" applyBorder="1" applyAlignment="1" applyProtection="1">
      <alignment/>
      <protection locked="0"/>
    </xf>
    <xf numFmtId="1" fontId="0" fillId="3" borderId="5" xfId="21" applyNumberFormat="1" applyFont="1" applyFill="1" applyBorder="1" applyAlignment="1">
      <alignment/>
    </xf>
    <xf numFmtId="1" fontId="0" fillId="3" borderId="7" xfId="21" applyNumberFormat="1" applyFont="1" applyFill="1" applyBorder="1" applyAlignment="1">
      <alignment/>
    </xf>
    <xf numFmtId="1" fontId="0" fillId="3" borderId="9" xfId="21" applyNumberFormat="1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3" xfId="0" applyFont="1" applyFill="1" applyBorder="1" applyAlignment="1">
      <alignment horizontal="center"/>
    </xf>
    <xf numFmtId="0" fontId="0" fillId="3" borderId="3" xfId="0" applyFont="1" applyFill="1" applyBorder="1" applyAlignment="1" applyProtection="1">
      <alignment/>
      <protection locked="0"/>
    </xf>
    <xf numFmtId="0" fontId="0" fillId="3" borderId="18" xfId="0" applyFont="1" applyFill="1" applyBorder="1" applyAlignment="1" applyProtection="1">
      <alignment/>
      <protection locked="0"/>
    </xf>
    <xf numFmtId="0" fontId="0" fillId="3" borderId="19" xfId="0" applyFont="1" applyFill="1" applyBorder="1" applyAlignment="1" applyProtection="1">
      <alignment/>
      <protection locked="0"/>
    </xf>
    <xf numFmtId="0" fontId="10" fillId="2" borderId="20" xfId="0" applyFont="1" applyFill="1" applyBorder="1" applyAlignment="1">
      <alignment/>
    </xf>
    <xf numFmtId="9" fontId="0" fillId="3" borderId="3" xfId="21" applyFont="1" applyFill="1" applyBorder="1" applyAlignment="1">
      <alignment/>
    </xf>
    <xf numFmtId="1" fontId="0" fillId="3" borderId="18" xfId="21" applyNumberFormat="1" applyFont="1" applyFill="1" applyBorder="1" applyAlignment="1">
      <alignment/>
    </xf>
    <xf numFmtId="1" fontId="0" fillId="3" borderId="6" xfId="21" applyNumberFormat="1" applyFont="1" applyFill="1" applyBorder="1" applyAlignment="1">
      <alignment/>
    </xf>
    <xf numFmtId="0" fontId="10" fillId="2" borderId="21" xfId="0" applyFont="1" applyFill="1" applyBorder="1" applyAlignment="1">
      <alignment/>
    </xf>
    <xf numFmtId="0" fontId="10" fillId="2" borderId="22" xfId="0" applyFont="1" applyFill="1" applyBorder="1" applyAlignment="1">
      <alignment/>
    </xf>
    <xf numFmtId="0" fontId="10" fillId="2" borderId="23" xfId="0" applyFont="1" applyFill="1" applyBorder="1" applyAlignment="1">
      <alignment/>
    </xf>
    <xf numFmtId="0" fontId="10" fillId="2" borderId="24" xfId="0" applyFont="1" applyFill="1" applyBorder="1" applyAlignment="1">
      <alignment/>
    </xf>
    <xf numFmtId="0" fontId="10" fillId="2" borderId="25" xfId="0" applyFont="1" applyFill="1" applyBorder="1" applyAlignment="1">
      <alignment/>
    </xf>
    <xf numFmtId="0" fontId="0" fillId="3" borderId="26" xfId="0" applyFont="1" applyFill="1" applyBorder="1" applyAlignment="1" applyProtection="1">
      <alignment/>
      <protection locked="0"/>
    </xf>
    <xf numFmtId="1" fontId="0" fillId="3" borderId="8" xfId="21" applyNumberFormat="1" applyFont="1" applyFill="1" applyBorder="1" applyAlignment="1">
      <alignment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2" borderId="27" xfId="0" applyFont="1" applyFill="1" applyBorder="1" applyAlignment="1">
      <alignment/>
    </xf>
    <xf numFmtId="0" fontId="10" fillId="2" borderId="28" xfId="0" applyFont="1" applyFill="1" applyBorder="1" applyAlignment="1">
      <alignment/>
    </xf>
    <xf numFmtId="9" fontId="0" fillId="3" borderId="15" xfId="21" applyFont="1" applyFill="1" applyBorder="1" applyAlignment="1">
      <alignment/>
    </xf>
    <xf numFmtId="9" fontId="0" fillId="3" borderId="16" xfId="21" applyFont="1" applyFill="1" applyBorder="1" applyAlignment="1">
      <alignment/>
    </xf>
    <xf numFmtId="9" fontId="0" fillId="3" borderId="17" xfId="21" applyFont="1" applyFill="1" applyBorder="1" applyAlignment="1">
      <alignment/>
    </xf>
    <xf numFmtId="0" fontId="0" fillId="4" borderId="4" xfId="0" applyFont="1" applyFill="1" applyBorder="1" applyAlignment="1" applyProtection="1">
      <alignment/>
      <protection locked="0"/>
    </xf>
    <xf numFmtId="0" fontId="0" fillId="4" borderId="6" xfId="0" applyFont="1" applyFill="1" applyBorder="1" applyAlignment="1" applyProtection="1">
      <alignment/>
      <protection locked="0"/>
    </xf>
    <xf numFmtId="0" fontId="0" fillId="4" borderId="8" xfId="0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 horizontal="center"/>
    </xf>
    <xf numFmtId="9" fontId="0" fillId="3" borderId="29" xfId="21" applyFont="1" applyFill="1" applyBorder="1" applyAlignment="1">
      <alignment/>
    </xf>
    <xf numFmtId="0" fontId="0" fillId="4" borderId="10" xfId="0" applyFont="1" applyFill="1" applyBorder="1" applyAlignment="1" applyProtection="1">
      <alignment/>
      <protection locked="0"/>
    </xf>
    <xf numFmtId="0" fontId="0" fillId="3" borderId="29" xfId="0" applyFont="1" applyFill="1" applyBorder="1" applyAlignment="1" applyProtection="1">
      <alignment/>
      <protection locked="0"/>
    </xf>
    <xf numFmtId="1" fontId="0" fillId="3" borderId="26" xfId="21" applyNumberFormat="1" applyFont="1" applyFill="1" applyBorder="1" applyAlignment="1">
      <alignment/>
    </xf>
    <xf numFmtId="9" fontId="0" fillId="3" borderId="10" xfId="21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/>
      <protection locked="0"/>
    </xf>
    <xf numFmtId="0" fontId="0" fillId="3" borderId="30" xfId="0" applyFont="1" applyFill="1" applyBorder="1" applyAlignment="1" applyProtection="1">
      <alignment/>
      <protection locked="0"/>
    </xf>
    <xf numFmtId="9" fontId="0" fillId="3" borderId="2" xfId="21" applyFont="1" applyFill="1" applyBorder="1" applyAlignment="1">
      <alignment/>
    </xf>
    <xf numFmtId="0" fontId="10" fillId="2" borderId="31" xfId="0" applyFont="1" applyFill="1" applyBorder="1" applyAlignment="1">
      <alignment/>
    </xf>
    <xf numFmtId="0" fontId="0" fillId="4" borderId="30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/>
      <protection locked="0"/>
    </xf>
    <xf numFmtId="1" fontId="0" fillId="3" borderId="1" xfId="21" applyNumberFormat="1" applyFont="1" applyFill="1" applyBorder="1" applyAlignment="1">
      <alignment/>
    </xf>
    <xf numFmtId="9" fontId="0" fillId="3" borderId="30" xfId="21" applyFont="1" applyFill="1" applyBorder="1" applyAlignment="1">
      <alignment/>
    </xf>
    <xf numFmtId="9" fontId="0" fillId="3" borderId="19" xfId="21" applyFont="1" applyFill="1" applyBorder="1" applyAlignment="1">
      <alignment/>
    </xf>
    <xf numFmtId="0" fontId="0" fillId="4" borderId="3" xfId="0" applyFont="1" applyFill="1" applyBorder="1" applyAlignment="1" applyProtection="1">
      <alignment/>
      <protection locked="0"/>
    </xf>
    <xf numFmtId="0" fontId="10" fillId="2" borderId="32" xfId="0" applyFont="1" applyFill="1" applyBorder="1" applyAlignment="1">
      <alignment/>
    </xf>
    <xf numFmtId="1" fontId="0" fillId="3" borderId="4" xfId="21" applyNumberFormat="1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2" fillId="2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9" fontId="2" fillId="0" borderId="30" xfId="21" applyFont="1" applyFill="1" applyBorder="1" applyAlignment="1">
      <alignment/>
    </xf>
    <xf numFmtId="0" fontId="6" fillId="0" borderId="0" xfId="0" applyFont="1" applyAlignment="1">
      <alignment/>
    </xf>
    <xf numFmtId="9" fontId="7" fillId="0" borderId="0" xfId="21" applyFont="1" applyFill="1" applyBorder="1" applyAlignment="1">
      <alignment/>
    </xf>
    <xf numFmtId="0" fontId="7" fillId="0" borderId="0" xfId="0" applyFont="1" applyBorder="1" applyAlignment="1">
      <alignment/>
    </xf>
    <xf numFmtId="0" fontId="2" fillId="0" borderId="33" xfId="0" applyFont="1" applyFill="1" applyBorder="1" applyAlignment="1">
      <alignment horizontal="left" vertical="top"/>
    </xf>
    <xf numFmtId="0" fontId="11" fillId="2" borderId="6" xfId="0" applyFont="1" applyFill="1" applyBorder="1" applyAlignment="1">
      <alignment horizontal="center" textRotation="75"/>
    </xf>
    <xf numFmtId="0" fontId="2" fillId="0" borderId="6" xfId="0" applyFont="1" applyBorder="1" applyAlignment="1">
      <alignment horizontal="center" textRotation="75"/>
    </xf>
    <xf numFmtId="0" fontId="6" fillId="0" borderId="6" xfId="0" applyFont="1" applyBorder="1" applyAlignment="1">
      <alignment horizontal="center" textRotation="75"/>
    </xf>
    <xf numFmtId="0" fontId="2" fillId="0" borderId="0" xfId="0" applyFont="1" applyAlignment="1">
      <alignment/>
    </xf>
    <xf numFmtId="0" fontId="11" fillId="2" borderId="30" xfId="0" applyFont="1" applyFill="1" applyBorder="1" applyAlignment="1">
      <alignment/>
    </xf>
    <xf numFmtId="1" fontId="2" fillId="0" borderId="30" xfId="21" applyNumberFormat="1" applyFont="1" applyFill="1" applyBorder="1" applyAlignment="1">
      <alignment/>
    </xf>
    <xf numFmtId="0" fontId="2" fillId="0" borderId="7" xfId="0" applyFont="1" applyFill="1" applyBorder="1" applyAlignment="1">
      <alignment horizontal="left" vertical="top"/>
    </xf>
    <xf numFmtId="0" fontId="8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0" fillId="2" borderId="10" xfId="0" applyFont="1" applyFill="1" applyBorder="1" applyAlignment="1">
      <alignment/>
    </xf>
    <xf numFmtId="1" fontId="0" fillId="3" borderId="10" xfId="21" applyNumberFormat="1" applyFont="1" applyFill="1" applyBorder="1" applyAlignment="1">
      <alignment/>
    </xf>
    <xf numFmtId="9" fontId="0" fillId="3" borderId="10" xfId="21" applyFont="1" applyFill="1" applyBorder="1" applyAlignment="1" applyProtection="1">
      <alignment/>
      <protection locked="0"/>
    </xf>
    <xf numFmtId="9" fontId="0" fillId="3" borderId="6" xfId="21" applyFont="1" applyFill="1" applyBorder="1" applyAlignment="1" applyProtection="1">
      <alignment/>
      <protection locked="0"/>
    </xf>
    <xf numFmtId="9" fontId="0" fillId="3" borderId="8" xfId="21" applyFont="1" applyFill="1" applyBorder="1" applyAlignment="1" applyProtection="1">
      <alignment/>
      <protection locked="0"/>
    </xf>
    <xf numFmtId="9" fontId="2" fillId="0" borderId="34" xfId="21" applyFont="1" applyFill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4" fillId="0" borderId="0" xfId="0" applyFont="1" applyAlignment="1">
      <alignment/>
    </xf>
    <xf numFmtId="0" fontId="2" fillId="0" borderId="1" xfId="0" applyFont="1" applyFill="1" applyBorder="1" applyAlignment="1">
      <alignment horizontal="left" vertical="top"/>
    </xf>
    <xf numFmtId="0" fontId="9" fillId="0" borderId="0" xfId="0" applyFont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2" fillId="0" borderId="6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2" fillId="0" borderId="8" xfId="0" applyFont="1" applyFill="1" applyBorder="1" applyAlignment="1">
      <alignment horizontal="left" indent="1"/>
    </xf>
    <xf numFmtId="0" fontId="2" fillId="0" borderId="10" xfId="0" applyFont="1" applyFill="1" applyBorder="1" applyAlignment="1">
      <alignment horizontal="left" indent="1"/>
    </xf>
    <xf numFmtId="0" fontId="2" fillId="0" borderId="30" xfId="0" applyFont="1" applyFill="1" applyBorder="1" applyAlignment="1">
      <alignment horizontal="left" indent="1"/>
    </xf>
    <xf numFmtId="0" fontId="2" fillId="0" borderId="3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1"/>
    </xf>
    <xf numFmtId="0" fontId="6" fillId="0" borderId="3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2" fillId="0" borderId="35" xfId="0" applyFont="1" applyFill="1" applyBorder="1" applyAlignment="1">
      <alignment horizontal="left" indent="1"/>
    </xf>
    <xf numFmtId="0" fontId="2" fillId="0" borderId="35" xfId="0" applyFont="1" applyFill="1" applyBorder="1" applyAlignment="1">
      <alignment horizontal="center"/>
    </xf>
    <xf numFmtId="0" fontId="0" fillId="3" borderId="33" xfId="0" applyFont="1" applyFill="1" applyBorder="1" applyAlignment="1" applyProtection="1">
      <alignment/>
      <protection locked="0"/>
    </xf>
    <xf numFmtId="0" fontId="0" fillId="3" borderId="35" xfId="0" applyFont="1" applyFill="1" applyBorder="1" applyAlignment="1" applyProtection="1">
      <alignment/>
      <protection locked="0"/>
    </xf>
    <xf numFmtId="9" fontId="0" fillId="3" borderId="36" xfId="21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0" fillId="4" borderId="35" xfId="0" applyFont="1" applyFill="1" applyBorder="1" applyAlignment="1" applyProtection="1">
      <alignment/>
      <protection locked="0"/>
    </xf>
    <xf numFmtId="0" fontId="0" fillId="3" borderId="36" xfId="0" applyFont="1" applyFill="1" applyBorder="1" applyAlignment="1" applyProtection="1">
      <alignment/>
      <protection locked="0"/>
    </xf>
    <xf numFmtId="1" fontId="0" fillId="3" borderId="33" xfId="21" applyNumberFormat="1" applyFont="1" applyFill="1" applyBorder="1" applyAlignment="1">
      <alignment/>
    </xf>
    <xf numFmtId="9" fontId="0" fillId="3" borderId="35" xfId="21" applyFont="1" applyFill="1" applyBorder="1" applyAlignment="1">
      <alignment/>
    </xf>
    <xf numFmtId="9" fontId="0" fillId="3" borderId="21" xfId="21" applyFont="1" applyFill="1" applyBorder="1" applyAlignment="1">
      <alignment/>
    </xf>
    <xf numFmtId="9" fontId="0" fillId="3" borderId="23" xfId="21" applyFont="1" applyFill="1" applyBorder="1" applyAlignment="1">
      <alignment/>
    </xf>
    <xf numFmtId="9" fontId="0" fillId="3" borderId="24" xfId="21" applyFont="1" applyFill="1" applyBorder="1" applyAlignment="1">
      <alignment/>
    </xf>
    <xf numFmtId="9" fontId="0" fillId="3" borderId="22" xfId="21" applyFont="1" applyFill="1" applyBorder="1" applyAlignment="1">
      <alignment/>
    </xf>
    <xf numFmtId="9" fontId="0" fillId="3" borderId="25" xfId="21" applyFont="1" applyFill="1" applyBorder="1" applyAlignment="1">
      <alignment/>
    </xf>
    <xf numFmtId="9" fontId="0" fillId="3" borderId="37" xfId="21" applyFont="1" applyFill="1" applyBorder="1" applyAlignment="1">
      <alignment/>
    </xf>
    <xf numFmtId="9" fontId="0" fillId="3" borderId="38" xfId="21" applyFont="1" applyFill="1" applyBorder="1" applyAlignment="1">
      <alignment/>
    </xf>
    <xf numFmtId="1" fontId="0" fillId="3" borderId="3" xfId="21" applyNumberFormat="1" applyFont="1" applyFill="1" applyBorder="1" applyAlignment="1">
      <alignment/>
    </xf>
    <xf numFmtId="1" fontId="0" fillId="3" borderId="30" xfId="21" applyNumberFormat="1" applyFont="1" applyFill="1" applyBorder="1" applyAlignment="1">
      <alignment/>
    </xf>
    <xf numFmtId="1" fontId="0" fillId="3" borderId="35" xfId="21" applyNumberFormat="1" applyFont="1" applyFill="1" applyBorder="1" applyAlignment="1">
      <alignment/>
    </xf>
    <xf numFmtId="9" fontId="0" fillId="0" borderId="0" xfId="21" applyFont="1" applyFill="1" applyBorder="1" applyAlignment="1">
      <alignment/>
    </xf>
    <xf numFmtId="176" fontId="0" fillId="3" borderId="21" xfId="21" applyNumberFormat="1" applyFont="1" applyFill="1" applyBorder="1" applyAlignment="1">
      <alignment horizontal="center"/>
    </xf>
    <xf numFmtId="176" fontId="0" fillId="3" borderId="22" xfId="21" applyNumberFormat="1" applyFont="1" applyFill="1" applyBorder="1" applyAlignment="1">
      <alignment horizontal="center"/>
    </xf>
    <xf numFmtId="176" fontId="0" fillId="3" borderId="23" xfId="21" applyNumberFormat="1" applyFont="1" applyFill="1" applyBorder="1" applyAlignment="1">
      <alignment horizontal="center"/>
    </xf>
    <xf numFmtId="176" fontId="0" fillId="3" borderId="24" xfId="21" applyNumberFormat="1" applyFont="1" applyFill="1" applyBorder="1" applyAlignment="1">
      <alignment horizontal="center"/>
    </xf>
    <xf numFmtId="176" fontId="0" fillId="3" borderId="25" xfId="21" applyNumberFormat="1" applyFont="1" applyFill="1" applyBorder="1" applyAlignment="1">
      <alignment horizontal="center"/>
    </xf>
    <xf numFmtId="176" fontId="0" fillId="3" borderId="4" xfId="21" applyNumberFormat="1" applyFont="1" applyFill="1" applyBorder="1" applyAlignment="1">
      <alignment horizontal="center"/>
    </xf>
    <xf numFmtId="176" fontId="0" fillId="3" borderId="6" xfId="21" applyNumberFormat="1" applyFont="1" applyFill="1" applyBorder="1" applyAlignment="1">
      <alignment horizontal="center"/>
    </xf>
    <xf numFmtId="176" fontId="0" fillId="3" borderId="8" xfId="21" applyNumberFormat="1" applyFont="1" applyFill="1" applyBorder="1" applyAlignment="1">
      <alignment horizontal="center"/>
    </xf>
    <xf numFmtId="176" fontId="0" fillId="3" borderId="37" xfId="21" applyNumberFormat="1" applyFont="1" applyFill="1" applyBorder="1" applyAlignment="1">
      <alignment horizontal="center"/>
    </xf>
    <xf numFmtId="176" fontId="0" fillId="3" borderId="38" xfId="21" applyNumberFormat="1" applyFont="1" applyFill="1" applyBorder="1" applyAlignment="1">
      <alignment horizontal="center"/>
    </xf>
    <xf numFmtId="9" fontId="2" fillId="0" borderId="0" xfId="2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2" borderId="3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9" fontId="6" fillId="0" borderId="30" xfId="21" applyFont="1" applyFill="1" applyBorder="1" applyAlignment="1">
      <alignment/>
    </xf>
    <xf numFmtId="1" fontId="6" fillId="0" borderId="37" xfId="21" applyNumberFormat="1" applyFont="1" applyFill="1" applyBorder="1" applyAlignment="1">
      <alignment/>
    </xf>
    <xf numFmtId="176" fontId="6" fillId="0" borderId="2" xfId="21" applyNumberFormat="1" applyFont="1" applyFill="1" applyBorder="1" applyAlignment="1">
      <alignment horizontal="center"/>
    </xf>
    <xf numFmtId="0" fontId="15" fillId="2" borderId="39" xfId="0" applyFont="1" applyFill="1" applyBorder="1" applyAlignment="1">
      <alignment/>
    </xf>
    <xf numFmtId="1" fontId="6" fillId="0" borderId="1" xfId="21" applyNumberFormat="1" applyFont="1" applyFill="1" applyBorder="1" applyAlignment="1">
      <alignment/>
    </xf>
    <xf numFmtId="0" fontId="2" fillId="5" borderId="10" xfId="0" applyFont="1" applyFill="1" applyBorder="1" applyAlignment="1">
      <alignment horizontal="left" indent="1"/>
    </xf>
    <xf numFmtId="0" fontId="2" fillId="5" borderId="3" xfId="0" applyFont="1" applyFill="1" applyBorder="1" applyAlignment="1">
      <alignment horizontal="left" indent="1"/>
    </xf>
    <xf numFmtId="0" fontId="2" fillId="5" borderId="10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left" indent="1"/>
    </xf>
    <xf numFmtId="0" fontId="2" fillId="5" borderId="6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 indent="1"/>
    </xf>
    <xf numFmtId="0" fontId="2" fillId="5" borderId="4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left" indent="1"/>
    </xf>
    <xf numFmtId="0" fontId="2" fillId="5" borderId="8" xfId="0" applyFont="1" applyFill="1" applyBorder="1" applyAlignment="1">
      <alignment horizontal="center"/>
    </xf>
    <xf numFmtId="0" fontId="0" fillId="5" borderId="7" xfId="0" applyFont="1" applyFill="1" applyBorder="1" applyAlignment="1" applyProtection="1">
      <alignment/>
      <protection locked="0"/>
    </xf>
    <xf numFmtId="0" fontId="0" fillId="5" borderId="6" xfId="0" applyFont="1" applyFill="1" applyBorder="1" applyAlignment="1" applyProtection="1">
      <alignment/>
      <protection locked="0"/>
    </xf>
    <xf numFmtId="9" fontId="0" fillId="5" borderId="23" xfId="21" applyFont="1" applyFill="1" applyBorder="1" applyAlignment="1">
      <alignment/>
    </xf>
    <xf numFmtId="1" fontId="0" fillId="5" borderId="6" xfId="21" applyNumberFormat="1" applyFont="1" applyFill="1" applyBorder="1" applyAlignment="1">
      <alignment/>
    </xf>
    <xf numFmtId="176" fontId="0" fillId="5" borderId="23" xfId="21" applyNumberFormat="1" applyFont="1" applyFill="1" applyBorder="1" applyAlignment="1">
      <alignment horizontal="center"/>
    </xf>
    <xf numFmtId="0" fontId="0" fillId="5" borderId="16" xfId="0" applyFont="1" applyFill="1" applyBorder="1" applyAlignment="1" applyProtection="1">
      <alignment/>
      <protection locked="0"/>
    </xf>
    <xf numFmtId="1" fontId="0" fillId="5" borderId="7" xfId="21" applyNumberFormat="1" applyFont="1" applyFill="1" applyBorder="1" applyAlignment="1">
      <alignment/>
    </xf>
    <xf numFmtId="9" fontId="0" fillId="5" borderId="6" xfId="21" applyFont="1" applyFill="1" applyBorder="1" applyAlignment="1">
      <alignment/>
    </xf>
    <xf numFmtId="9" fontId="0" fillId="5" borderId="16" xfId="21" applyFont="1" applyFill="1" applyBorder="1" applyAlignment="1">
      <alignment/>
    </xf>
    <xf numFmtId="0" fontId="0" fillId="5" borderId="18" xfId="0" applyFont="1" applyFill="1" applyBorder="1" applyAlignment="1" applyProtection="1">
      <alignment/>
      <protection locked="0"/>
    </xf>
    <xf numFmtId="0" fontId="0" fillId="5" borderId="3" xfId="0" applyFont="1" applyFill="1" applyBorder="1" applyAlignment="1" applyProtection="1">
      <alignment/>
      <protection locked="0"/>
    </xf>
    <xf numFmtId="9" fontId="0" fillId="5" borderId="25" xfId="21" applyFont="1" applyFill="1" applyBorder="1" applyAlignment="1">
      <alignment/>
    </xf>
    <xf numFmtId="1" fontId="0" fillId="5" borderId="3" xfId="21" applyNumberFormat="1" applyFont="1" applyFill="1" applyBorder="1" applyAlignment="1">
      <alignment/>
    </xf>
    <xf numFmtId="176" fontId="0" fillId="5" borderId="25" xfId="21" applyNumberFormat="1" applyFont="1" applyFill="1" applyBorder="1" applyAlignment="1">
      <alignment horizontal="center"/>
    </xf>
    <xf numFmtId="0" fontId="0" fillId="5" borderId="19" xfId="0" applyFont="1" applyFill="1" applyBorder="1" applyAlignment="1" applyProtection="1">
      <alignment/>
      <protection locked="0"/>
    </xf>
    <xf numFmtId="1" fontId="0" fillId="5" borderId="18" xfId="21" applyNumberFormat="1" applyFont="1" applyFill="1" applyBorder="1" applyAlignment="1">
      <alignment/>
    </xf>
    <xf numFmtId="9" fontId="0" fillId="5" borderId="3" xfId="21" applyFont="1" applyFill="1" applyBorder="1" applyAlignment="1">
      <alignment/>
    </xf>
    <xf numFmtId="9" fontId="0" fillId="5" borderId="19" xfId="21" applyFont="1" applyFill="1" applyBorder="1" applyAlignment="1">
      <alignment/>
    </xf>
    <xf numFmtId="0" fontId="0" fillId="5" borderId="26" xfId="0" applyFont="1" applyFill="1" applyBorder="1" applyAlignment="1" applyProtection="1">
      <alignment/>
      <protection locked="0"/>
    </xf>
    <xf numFmtId="0" fontId="0" fillId="5" borderId="10" xfId="0" applyFont="1" applyFill="1" applyBorder="1" applyAlignment="1" applyProtection="1">
      <alignment/>
      <protection locked="0"/>
    </xf>
    <xf numFmtId="9" fontId="0" fillId="5" borderId="22" xfId="21" applyFont="1" applyFill="1" applyBorder="1" applyAlignment="1">
      <alignment/>
    </xf>
    <xf numFmtId="1" fontId="0" fillId="5" borderId="10" xfId="21" applyNumberFormat="1" applyFont="1" applyFill="1" applyBorder="1" applyAlignment="1">
      <alignment/>
    </xf>
    <xf numFmtId="176" fontId="0" fillId="5" borderId="22" xfId="21" applyNumberFormat="1" applyFont="1" applyFill="1" applyBorder="1" applyAlignment="1">
      <alignment horizontal="center"/>
    </xf>
    <xf numFmtId="0" fontId="0" fillId="5" borderId="29" xfId="0" applyFont="1" applyFill="1" applyBorder="1" applyAlignment="1" applyProtection="1">
      <alignment/>
      <protection locked="0"/>
    </xf>
    <xf numFmtId="1" fontId="0" fillId="5" borderId="26" xfId="21" applyNumberFormat="1" applyFont="1" applyFill="1" applyBorder="1" applyAlignment="1">
      <alignment/>
    </xf>
    <xf numFmtId="9" fontId="0" fillId="5" borderId="10" xfId="21" applyFont="1" applyFill="1" applyBorder="1" applyAlignment="1">
      <alignment/>
    </xf>
    <xf numFmtId="9" fontId="0" fillId="5" borderId="29" xfId="21" applyFont="1" applyFill="1" applyBorder="1" applyAlignment="1">
      <alignment/>
    </xf>
    <xf numFmtId="0" fontId="0" fillId="5" borderId="5" xfId="0" applyFont="1" applyFill="1" applyBorder="1" applyAlignment="1" applyProtection="1">
      <alignment/>
      <protection locked="0"/>
    </xf>
    <xf numFmtId="0" fontId="0" fillId="5" borderId="4" xfId="0" applyFont="1" applyFill="1" applyBorder="1" applyAlignment="1" applyProtection="1">
      <alignment/>
      <protection locked="0"/>
    </xf>
    <xf numFmtId="9" fontId="0" fillId="5" borderId="21" xfId="21" applyFont="1" applyFill="1" applyBorder="1" applyAlignment="1">
      <alignment/>
    </xf>
    <xf numFmtId="1" fontId="0" fillId="5" borderId="4" xfId="21" applyNumberFormat="1" applyFont="1" applyFill="1" applyBorder="1" applyAlignment="1">
      <alignment/>
    </xf>
    <xf numFmtId="176" fontId="0" fillId="5" borderId="21" xfId="21" applyNumberFormat="1" applyFont="1" applyFill="1" applyBorder="1" applyAlignment="1">
      <alignment horizontal="center"/>
    </xf>
    <xf numFmtId="0" fontId="0" fillId="5" borderId="15" xfId="0" applyFont="1" applyFill="1" applyBorder="1" applyAlignment="1" applyProtection="1">
      <alignment/>
      <protection locked="0"/>
    </xf>
    <xf numFmtId="1" fontId="0" fillId="5" borderId="5" xfId="21" applyNumberFormat="1" applyFont="1" applyFill="1" applyBorder="1" applyAlignment="1">
      <alignment/>
    </xf>
    <xf numFmtId="9" fontId="0" fillId="5" borderId="4" xfId="21" applyFont="1" applyFill="1" applyBorder="1" applyAlignment="1">
      <alignment/>
    </xf>
    <xf numFmtId="9" fontId="0" fillId="5" borderId="15" xfId="21" applyFont="1" applyFill="1" applyBorder="1" applyAlignment="1">
      <alignment/>
    </xf>
    <xf numFmtId="0" fontId="0" fillId="5" borderId="9" xfId="0" applyFont="1" applyFill="1" applyBorder="1" applyAlignment="1" applyProtection="1">
      <alignment/>
      <protection locked="0"/>
    </xf>
    <xf numFmtId="0" fontId="0" fillId="5" borderId="8" xfId="0" applyFont="1" applyFill="1" applyBorder="1" applyAlignment="1" applyProtection="1">
      <alignment/>
      <protection locked="0"/>
    </xf>
    <xf numFmtId="9" fontId="0" fillId="5" borderId="24" xfId="21" applyFont="1" applyFill="1" applyBorder="1" applyAlignment="1">
      <alignment/>
    </xf>
    <xf numFmtId="1" fontId="0" fillId="5" borderId="8" xfId="21" applyNumberFormat="1" applyFont="1" applyFill="1" applyBorder="1" applyAlignment="1">
      <alignment/>
    </xf>
    <xf numFmtId="176" fontId="0" fillId="5" borderId="24" xfId="21" applyNumberFormat="1" applyFont="1" applyFill="1" applyBorder="1" applyAlignment="1">
      <alignment horizontal="center"/>
    </xf>
    <xf numFmtId="0" fontId="0" fillId="5" borderId="17" xfId="0" applyFont="1" applyFill="1" applyBorder="1" applyAlignment="1" applyProtection="1">
      <alignment/>
      <protection locked="0"/>
    </xf>
    <xf numFmtId="1" fontId="0" fillId="5" borderId="9" xfId="21" applyNumberFormat="1" applyFont="1" applyFill="1" applyBorder="1" applyAlignment="1">
      <alignment/>
    </xf>
    <xf numFmtId="9" fontId="0" fillId="5" borderId="8" xfId="21" applyFont="1" applyFill="1" applyBorder="1" applyAlignment="1">
      <alignment/>
    </xf>
    <xf numFmtId="9" fontId="0" fillId="5" borderId="17" xfId="21" applyFont="1" applyFill="1" applyBorder="1" applyAlignment="1">
      <alignment/>
    </xf>
    <xf numFmtId="176" fontId="0" fillId="3" borderId="4" xfId="0" applyNumberFormat="1" applyFont="1" applyFill="1" applyBorder="1" applyAlignment="1" applyProtection="1">
      <alignment/>
      <protection locked="0"/>
    </xf>
    <xf numFmtId="176" fontId="0" fillId="3" borderId="10" xfId="0" applyNumberFormat="1" applyFont="1" applyFill="1" applyBorder="1" applyAlignment="1" applyProtection="1">
      <alignment/>
      <protection locked="0"/>
    </xf>
    <xf numFmtId="176" fontId="0" fillId="3" borderId="8" xfId="0" applyNumberFormat="1" applyFont="1" applyFill="1" applyBorder="1" applyAlignment="1" applyProtection="1">
      <alignment/>
      <protection locked="0"/>
    </xf>
    <xf numFmtId="3" fontId="0" fillId="3" borderId="4" xfId="0" applyNumberFormat="1" applyFont="1" applyFill="1" applyBorder="1" applyAlignment="1" applyProtection="1">
      <alignment/>
      <protection locked="0"/>
    </xf>
    <xf numFmtId="3" fontId="0" fillId="6" borderId="4" xfId="0" applyNumberFormat="1" applyFont="1" applyFill="1" applyBorder="1" applyAlignment="1" applyProtection="1">
      <alignment/>
      <protection locked="0"/>
    </xf>
    <xf numFmtId="3" fontId="0" fillId="3" borderId="10" xfId="0" applyNumberFormat="1" applyFont="1" applyFill="1" applyBorder="1" applyAlignment="1" applyProtection="1">
      <alignment/>
      <protection locked="0"/>
    </xf>
    <xf numFmtId="3" fontId="0" fillId="3" borderId="6" xfId="0" applyNumberFormat="1" applyFont="1" applyFill="1" applyBorder="1" applyAlignment="1" applyProtection="1">
      <alignment/>
      <protection locked="0"/>
    </xf>
    <xf numFmtId="3" fontId="0" fillId="6" borderId="10" xfId="0" applyNumberFormat="1" applyFont="1" applyFill="1" applyBorder="1" applyAlignment="1" applyProtection="1">
      <alignment/>
      <protection locked="0"/>
    </xf>
    <xf numFmtId="3" fontId="0" fillId="3" borderId="8" xfId="0" applyNumberFormat="1" applyFont="1" applyFill="1" applyBorder="1" applyAlignment="1" applyProtection="1">
      <alignment/>
      <protection locked="0"/>
    </xf>
    <xf numFmtId="3" fontId="0" fillId="3" borderId="40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>
      <alignment/>
    </xf>
    <xf numFmtId="3" fontId="2" fillId="0" borderId="30" xfId="0" applyNumberFormat="1" applyFont="1" applyFill="1" applyBorder="1" applyAlignment="1">
      <alignment/>
    </xf>
    <xf numFmtId="1" fontId="2" fillId="0" borderId="2" xfId="0" applyNumberFormat="1" applyFon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/>
    </xf>
    <xf numFmtId="0" fontId="0" fillId="3" borderId="41" xfId="0" applyFont="1" applyFill="1" applyBorder="1" applyAlignment="1" applyProtection="1">
      <alignment/>
      <protection locked="0"/>
    </xf>
    <xf numFmtId="176" fontId="0" fillId="3" borderId="41" xfId="0" applyNumberFormat="1" applyFont="1" applyFill="1" applyBorder="1" applyAlignment="1" applyProtection="1">
      <alignment/>
      <protection locked="0"/>
    </xf>
    <xf numFmtId="176" fontId="0" fillId="3" borderId="6" xfId="0" applyNumberFormat="1" applyFont="1" applyFill="1" applyBorder="1" applyAlignment="1" applyProtection="1">
      <alignment/>
      <protection locked="0"/>
    </xf>
    <xf numFmtId="176" fontId="2" fillId="0" borderId="30" xfId="0" applyNumberFormat="1" applyFont="1" applyFill="1" applyBorder="1" applyAlignment="1">
      <alignment/>
    </xf>
    <xf numFmtId="176" fontId="0" fillId="0" borderId="42" xfId="0" applyNumberFormat="1" applyBorder="1" applyAlignment="1">
      <alignment/>
    </xf>
    <xf numFmtId="0" fontId="2" fillId="0" borderId="0" xfId="0" applyFont="1" applyBorder="1" applyAlignment="1">
      <alignment wrapText="1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0" xfId="0" applyFont="1" applyFill="1" applyBorder="1" applyAlignment="1">
      <alignment horizontal="left" vertical="top"/>
    </xf>
    <xf numFmtId="0" fontId="0" fillId="0" borderId="0" xfId="0" applyBorder="1" applyAlignment="1">
      <alignment horizontal="center"/>
    </xf>
    <xf numFmtId="0" fontId="11" fillId="7" borderId="6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7" borderId="7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2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7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5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0" fillId="0" borderId="23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27" xfId="0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45" xfId="0" applyFill="1" applyBorder="1" applyAlignment="1">
      <alignment horizontal="center"/>
    </xf>
    <xf numFmtId="3" fontId="0" fillId="0" borderId="0" xfId="0" applyNumberFormat="1" applyAlignment="1">
      <alignment horizontal="right"/>
    </xf>
    <xf numFmtId="0" fontId="14" fillId="6" borderId="6" xfId="0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right" vertical="top"/>
    </xf>
    <xf numFmtId="176" fontId="0" fillId="0" borderId="4" xfId="0" applyNumberFormat="1" applyFont="1" applyBorder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3" fontId="0" fillId="0" borderId="27" xfId="0" applyNumberFormat="1" applyFont="1" applyFill="1" applyBorder="1" applyAlignment="1">
      <alignment horizontal="right" vertical="top"/>
    </xf>
    <xf numFmtId="176" fontId="0" fillId="0" borderId="6" xfId="0" applyNumberFormat="1" applyFont="1" applyBorder="1" applyAlignment="1">
      <alignment horizontal="center"/>
    </xf>
    <xf numFmtId="176" fontId="0" fillId="0" borderId="16" xfId="0" applyNumberFormat="1" applyFont="1" applyBorder="1" applyAlignment="1">
      <alignment horizontal="center"/>
    </xf>
    <xf numFmtId="3" fontId="0" fillId="0" borderId="28" xfId="0" applyNumberFormat="1" applyFont="1" applyFill="1" applyBorder="1" applyAlignment="1">
      <alignment horizontal="right" vertical="top"/>
    </xf>
    <xf numFmtId="176" fontId="0" fillId="0" borderId="8" xfId="0" applyNumberFormat="1" applyFont="1" applyBorder="1" applyAlignment="1">
      <alignment horizontal="center"/>
    </xf>
    <xf numFmtId="176" fontId="0" fillId="0" borderId="17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176" fontId="0" fillId="0" borderId="0" xfId="0" applyNumberFormat="1" applyFont="1" applyBorder="1" applyAlignment="1">
      <alignment horizontal="center"/>
    </xf>
    <xf numFmtId="3" fontId="0" fillId="0" borderId="45" xfId="0" applyNumberFormat="1" applyFont="1" applyFill="1" applyBorder="1" applyAlignment="1">
      <alignment horizontal="right" vertical="top"/>
    </xf>
    <xf numFmtId="176" fontId="0" fillId="0" borderId="3" xfId="0" applyNumberFormat="1" applyFont="1" applyBorder="1" applyAlignment="1">
      <alignment horizontal="center"/>
    </xf>
    <xf numFmtId="176" fontId="0" fillId="0" borderId="19" xfId="0" applyNumberFormat="1" applyFont="1" applyBorder="1" applyAlignment="1">
      <alignment horizontal="center"/>
    </xf>
    <xf numFmtId="0" fontId="2" fillId="0" borderId="27" xfId="0" applyFont="1" applyFill="1" applyBorder="1" applyAlignment="1">
      <alignment horizontal="left" vertical="top"/>
    </xf>
    <xf numFmtId="0" fontId="2" fillId="0" borderId="32" xfId="0" applyFont="1" applyFill="1" applyBorder="1" applyAlignment="1">
      <alignment horizontal="left" vertical="top" wrapText="1"/>
    </xf>
    <xf numFmtId="0" fontId="2" fillId="0" borderId="27" xfId="0" applyFont="1" applyFill="1" applyBorder="1" applyAlignment="1">
      <alignment horizontal="left" vertical="top" wrapText="1"/>
    </xf>
    <xf numFmtId="0" fontId="2" fillId="0" borderId="28" xfId="0" applyFont="1" applyFill="1" applyBorder="1" applyAlignment="1">
      <alignment horizontal="left" vertical="top" wrapText="1"/>
    </xf>
    <xf numFmtId="0" fontId="0" fillId="8" borderId="6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0" fontId="0" fillId="0" borderId="46" xfId="0" applyBorder="1" applyAlignment="1">
      <alignment horizontal="center"/>
    </xf>
    <xf numFmtId="0" fontId="17" fillId="9" borderId="47" xfId="0" applyFont="1" applyFill="1" applyBorder="1" applyAlignment="1">
      <alignment horizontal="left"/>
    </xf>
    <xf numFmtId="0" fontId="18" fillId="9" borderId="0" xfId="0" applyFont="1" applyFill="1" applyBorder="1" applyAlignment="1">
      <alignment horizontal="center"/>
    </xf>
    <xf numFmtId="0" fontId="18" fillId="9" borderId="0" xfId="0" applyFont="1" applyFill="1" applyBorder="1" applyAlignment="1">
      <alignment horizontal="right"/>
    </xf>
    <xf numFmtId="0" fontId="0" fillId="9" borderId="48" xfId="0" applyFill="1" applyBorder="1" applyAlignment="1">
      <alignment horizontal="center"/>
    </xf>
    <xf numFmtId="0" fontId="17" fillId="8" borderId="47" xfId="0" applyFont="1" applyFill="1" applyBorder="1" applyAlignment="1">
      <alignment horizontal="left"/>
    </xf>
    <xf numFmtId="0" fontId="18" fillId="8" borderId="0" xfId="0" applyFont="1" applyFill="1" applyBorder="1" applyAlignment="1">
      <alignment horizontal="center"/>
    </xf>
    <xf numFmtId="0" fontId="0" fillId="8" borderId="48" xfId="0" applyFill="1" applyBorder="1" applyAlignment="1">
      <alignment horizontal="center"/>
    </xf>
    <xf numFmtId="0" fontId="17" fillId="10" borderId="49" xfId="0" applyFont="1" applyFill="1" applyBorder="1" applyAlignment="1">
      <alignment horizontal="left"/>
    </xf>
    <xf numFmtId="0" fontId="18" fillId="10" borderId="50" xfId="0" applyFont="1" applyFill="1" applyBorder="1" applyAlignment="1">
      <alignment horizontal="center"/>
    </xf>
    <xf numFmtId="0" fontId="0" fillId="10" borderId="51" xfId="0" applyFill="1" applyBorder="1" applyAlignment="1">
      <alignment horizontal="center"/>
    </xf>
    <xf numFmtId="0" fontId="0" fillId="0" borderId="0" xfId="0" applyFont="1" applyAlignment="1">
      <alignment horizontal="left"/>
    </xf>
    <xf numFmtId="0" fontId="18" fillId="11" borderId="47" xfId="0" applyFont="1" applyFill="1" applyBorder="1" applyAlignment="1">
      <alignment horizontal="left"/>
    </xf>
    <xf numFmtId="0" fontId="18" fillId="11" borderId="0" xfId="0" applyFont="1" applyFill="1" applyBorder="1" applyAlignment="1">
      <alignment horizontal="center"/>
    </xf>
    <xf numFmtId="0" fontId="0" fillId="11" borderId="48" xfId="0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11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10" borderId="50" xfId="0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5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8" borderId="4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10" borderId="4" xfId="0" applyFill="1" applyBorder="1" applyAlignment="1">
      <alignment horizontal="center"/>
    </xf>
    <xf numFmtId="0" fontId="2" fillId="0" borderId="18" xfId="0" applyFont="1" applyFill="1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7" xfId="0" applyBorder="1" applyAlignment="1">
      <alignment/>
    </xf>
    <xf numFmtId="0" fontId="17" fillId="0" borderId="3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54" xfId="0" applyFont="1" applyFill="1" applyBorder="1" applyAlignment="1">
      <alignment horizontal="left" vertical="top"/>
    </xf>
    <xf numFmtId="0" fontId="2" fillId="0" borderId="33" xfId="0" applyFont="1" applyFill="1" applyBorder="1" applyAlignment="1">
      <alignment horizontal="left" vertical="top"/>
    </xf>
    <xf numFmtId="0" fontId="0" fillId="0" borderId="55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2" fillId="0" borderId="55" xfId="0" applyFont="1" applyFill="1" applyBorder="1" applyAlignment="1">
      <alignment horizontal="left" vertical="top"/>
    </xf>
    <xf numFmtId="0" fontId="2" fillId="0" borderId="54" xfId="0" applyFont="1" applyBorder="1" applyAlignment="1">
      <alignment horizontal="left" vertical="top"/>
    </xf>
    <xf numFmtId="0" fontId="0" fillId="0" borderId="33" xfId="0" applyBorder="1" applyAlignment="1">
      <alignment horizontal="left"/>
    </xf>
    <xf numFmtId="0" fontId="0" fillId="0" borderId="55" xfId="0" applyBorder="1" applyAlignment="1">
      <alignment horizontal="left"/>
    </xf>
    <xf numFmtId="0" fontId="2" fillId="0" borderId="7" xfId="0" applyFont="1" applyFill="1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33" xfId="0" applyBorder="1" applyAlignment="1">
      <alignment/>
    </xf>
    <xf numFmtId="0" fontId="0" fillId="0" borderId="55" xfId="0" applyBorder="1" applyAlignment="1">
      <alignment/>
    </xf>
    <xf numFmtId="0" fontId="2" fillId="0" borderId="5" xfId="0" applyFont="1" applyBorder="1" applyAlignment="1">
      <alignment horizontal="left" vertical="top"/>
    </xf>
    <xf numFmtId="0" fontId="0" fillId="0" borderId="7" xfId="0" applyBorder="1" applyAlignment="1">
      <alignment horizontal="left"/>
    </xf>
    <xf numFmtId="0" fontId="16" fillId="0" borderId="4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53" xfId="0" applyFont="1" applyBorder="1" applyAlignment="1">
      <alignment horizontal="center"/>
    </xf>
    <xf numFmtId="0" fontId="19" fillId="0" borderId="43" xfId="0" applyFont="1" applyBorder="1" applyAlignment="1">
      <alignment horizontal="center"/>
    </xf>
    <xf numFmtId="0" fontId="19" fillId="0" borderId="44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6" fillId="0" borderId="5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3"/>
  <sheetViews>
    <sheetView zoomScale="75" zoomScaleNormal="75" workbookViewId="0" topLeftCell="A1">
      <selection activeCell="Y9" sqref="Y9"/>
    </sheetView>
  </sheetViews>
  <sheetFormatPr defaultColWidth="9.140625" defaultRowHeight="12.75"/>
  <cols>
    <col min="1" max="1" width="32.421875" style="0" bestFit="1" customWidth="1"/>
    <col min="2" max="2" width="13.8515625" style="136" bestFit="1" customWidth="1"/>
    <col min="3" max="3" width="3.140625" style="6" bestFit="1" customWidth="1"/>
    <col min="4" max="4" width="3.140625" style="6" customWidth="1"/>
    <col min="5" max="5" width="2.7109375" style="10" customWidth="1"/>
    <col min="6" max="7" width="5.57421875" style="10" bestFit="1" customWidth="1"/>
    <col min="8" max="8" width="5.7109375" style="7" bestFit="1" customWidth="1"/>
    <col min="9" max="9" width="5.57421875" style="7" bestFit="1" customWidth="1"/>
    <col min="10" max="10" width="4.57421875" style="169" bestFit="1" customWidth="1"/>
    <col min="11" max="11" width="2.7109375" style="10" customWidth="1"/>
    <col min="12" max="14" width="4.00390625" style="10" customWidth="1"/>
    <col min="15" max="16" width="4.421875" style="10" bestFit="1" customWidth="1"/>
    <col min="17" max="17" width="3.57421875" style="10" bestFit="1" customWidth="1"/>
    <col min="18" max="18" width="4.00390625" style="10" customWidth="1"/>
    <col min="19" max="19" width="2.7109375" style="10" customWidth="1"/>
    <col min="20" max="20" width="4.421875" style="7" bestFit="1" customWidth="1"/>
    <col min="21" max="21" width="5.7109375" style="7" bestFit="1" customWidth="1"/>
    <col min="22" max="22" width="5.7109375" style="10" bestFit="1" customWidth="1"/>
    <col min="23" max="23" width="13.8515625" style="0" customWidth="1"/>
  </cols>
  <sheetData>
    <row r="1" spans="1:22" s="2" customFormat="1" ht="210.75" customHeight="1" thickBot="1">
      <c r="A1" s="5" t="s">
        <v>51</v>
      </c>
      <c r="B1" s="125" t="s">
        <v>15</v>
      </c>
      <c r="C1" s="41" t="s">
        <v>4</v>
      </c>
      <c r="D1" s="41" t="s">
        <v>0</v>
      </c>
      <c r="E1" s="14" t="s">
        <v>74</v>
      </c>
      <c r="F1" s="15" t="s">
        <v>72</v>
      </c>
      <c r="G1" s="15" t="s">
        <v>73</v>
      </c>
      <c r="H1" s="15" t="s">
        <v>71</v>
      </c>
      <c r="I1" s="15" t="s">
        <v>122</v>
      </c>
      <c r="J1" s="15" t="s">
        <v>121</v>
      </c>
      <c r="K1" s="14" t="s">
        <v>75</v>
      </c>
      <c r="L1" s="15" t="s">
        <v>9</v>
      </c>
      <c r="M1" s="15" t="s">
        <v>6</v>
      </c>
      <c r="N1" s="15" t="s">
        <v>7</v>
      </c>
      <c r="O1" s="15" t="s">
        <v>103</v>
      </c>
      <c r="P1" s="15" t="s">
        <v>104</v>
      </c>
      <c r="Q1" s="15" t="s">
        <v>8</v>
      </c>
      <c r="R1" s="15" t="s">
        <v>11</v>
      </c>
      <c r="S1" s="14" t="s">
        <v>50</v>
      </c>
      <c r="T1" s="15" t="s">
        <v>14</v>
      </c>
      <c r="U1" s="15" t="s">
        <v>106</v>
      </c>
      <c r="V1" s="15" t="s">
        <v>105</v>
      </c>
    </row>
    <row r="2" spans="1:22" ht="12.75">
      <c r="A2" s="413" t="s">
        <v>16</v>
      </c>
      <c r="B2" s="126" t="s">
        <v>12</v>
      </c>
      <c r="C2" s="42" t="s">
        <v>62</v>
      </c>
      <c r="D2" s="42"/>
      <c r="E2" s="56"/>
      <c r="F2" s="18">
        <v>32</v>
      </c>
      <c r="G2" s="17">
        <v>32</v>
      </c>
      <c r="H2" s="147">
        <f aca="true" t="shared" si="0" ref="H2:H36">IF(G2&lt;&gt;0,F2/G2,0)</f>
        <v>1</v>
      </c>
      <c r="I2" s="93">
        <v>28</v>
      </c>
      <c r="J2" s="158">
        <f>IF(G2&lt;&gt;0,I2/G2,0)</f>
        <v>0.875</v>
      </c>
      <c r="K2" s="31"/>
      <c r="L2" s="18">
        <v>0</v>
      </c>
      <c r="M2" s="17">
        <v>0</v>
      </c>
      <c r="N2" s="17">
        <v>0</v>
      </c>
      <c r="O2" s="70">
        <v>0</v>
      </c>
      <c r="P2" s="70">
        <v>0</v>
      </c>
      <c r="Q2" s="17">
        <v>3</v>
      </c>
      <c r="R2" s="35">
        <v>0</v>
      </c>
      <c r="S2" s="31"/>
      <c r="T2" s="38">
        <f aca="true" t="shared" si="1" ref="T2:T14">SUM(L2:R2)</f>
        <v>3</v>
      </c>
      <c r="U2" s="28">
        <f aca="true" t="shared" si="2" ref="U2:U33">IF(F2&lt;&gt;0,(L2+M2+N2+Q2+R2)/F2,0)</f>
        <v>0.09375</v>
      </c>
      <c r="V2" s="67">
        <f aca="true" t="shared" si="3" ref="V2:V33">IF(F2&lt;&gt;0,(T2)/F2,0)</f>
        <v>0.09375</v>
      </c>
    </row>
    <row r="3" spans="1:22" ht="12.75">
      <c r="A3" s="410"/>
      <c r="B3" s="127" t="s">
        <v>13</v>
      </c>
      <c r="C3" s="43" t="s">
        <v>62</v>
      </c>
      <c r="D3" s="43"/>
      <c r="E3" s="57"/>
      <c r="F3" s="21">
        <v>74</v>
      </c>
      <c r="G3" s="20">
        <v>74</v>
      </c>
      <c r="H3" s="148">
        <f t="shared" si="0"/>
        <v>1</v>
      </c>
      <c r="I3" s="112">
        <v>46</v>
      </c>
      <c r="J3" s="159">
        <f aca="true" t="shared" si="4" ref="J3:J66">IF(G3&lt;&gt;0,I3/G3,0)</f>
        <v>0.6216216216216216</v>
      </c>
      <c r="K3" s="32"/>
      <c r="L3" s="21">
        <v>0</v>
      </c>
      <c r="M3" s="20">
        <v>0</v>
      </c>
      <c r="N3" s="20">
        <v>0</v>
      </c>
      <c r="O3" s="71">
        <v>0</v>
      </c>
      <c r="P3" s="71">
        <v>0</v>
      </c>
      <c r="Q3" s="20">
        <v>0</v>
      </c>
      <c r="R3" s="36">
        <v>0</v>
      </c>
      <c r="S3" s="32"/>
      <c r="T3" s="39">
        <f t="shared" si="1"/>
        <v>0</v>
      </c>
      <c r="U3" s="29">
        <f t="shared" si="2"/>
        <v>0</v>
      </c>
      <c r="V3" s="68">
        <f t="shared" si="3"/>
        <v>0</v>
      </c>
    </row>
    <row r="4" spans="1:24" ht="12.75">
      <c r="A4" s="414"/>
      <c r="B4" s="128" t="s">
        <v>117</v>
      </c>
      <c r="C4" s="44"/>
      <c r="D4" s="44" t="s">
        <v>62</v>
      </c>
      <c r="E4" s="58"/>
      <c r="F4" s="21">
        <v>30</v>
      </c>
      <c r="G4" s="20">
        <v>30</v>
      </c>
      <c r="H4" s="148">
        <f t="shared" si="0"/>
        <v>1</v>
      </c>
      <c r="I4" s="55">
        <v>85</v>
      </c>
      <c r="J4" s="160">
        <f t="shared" si="4"/>
        <v>2.8333333333333335</v>
      </c>
      <c r="K4" s="33"/>
      <c r="L4" s="21">
        <v>0</v>
      </c>
      <c r="M4" s="20">
        <v>0</v>
      </c>
      <c r="N4" s="20">
        <v>0</v>
      </c>
      <c r="O4" s="71">
        <v>6</v>
      </c>
      <c r="P4" s="71">
        <v>0</v>
      </c>
      <c r="Q4" s="20">
        <v>0</v>
      </c>
      <c r="R4" s="36">
        <v>0</v>
      </c>
      <c r="S4" s="33"/>
      <c r="T4" s="39">
        <f t="shared" si="1"/>
        <v>6</v>
      </c>
      <c r="U4" s="29">
        <f t="shared" si="2"/>
        <v>0</v>
      </c>
      <c r="V4" s="68">
        <f t="shared" si="3"/>
        <v>0.2</v>
      </c>
      <c r="W4" s="1"/>
      <c r="X4" s="1"/>
    </row>
    <row r="5" spans="1:24" ht="13.5" thickBot="1">
      <c r="A5" s="415"/>
      <c r="B5" s="128" t="s">
        <v>118</v>
      </c>
      <c r="C5" s="45"/>
      <c r="D5" s="45" t="s">
        <v>62</v>
      </c>
      <c r="E5" s="59"/>
      <c r="F5" s="24">
        <v>12</v>
      </c>
      <c r="G5" s="23">
        <v>12</v>
      </c>
      <c r="H5" s="149">
        <f t="shared" si="0"/>
        <v>1</v>
      </c>
      <c r="I5" s="62">
        <v>41</v>
      </c>
      <c r="J5" s="161">
        <f t="shared" si="4"/>
        <v>3.4166666666666665</v>
      </c>
      <c r="K5" s="34"/>
      <c r="L5" s="24">
        <v>0</v>
      </c>
      <c r="M5" s="23">
        <v>0</v>
      </c>
      <c r="N5" s="23">
        <v>0</v>
      </c>
      <c r="O5" s="72">
        <v>4</v>
      </c>
      <c r="P5" s="72">
        <v>0</v>
      </c>
      <c r="Q5" s="23">
        <v>0</v>
      </c>
      <c r="R5" s="37">
        <v>0</v>
      </c>
      <c r="S5" s="34"/>
      <c r="T5" s="40">
        <f t="shared" si="1"/>
        <v>4</v>
      </c>
      <c r="U5" s="30">
        <f t="shared" si="2"/>
        <v>0</v>
      </c>
      <c r="V5" s="69">
        <f t="shared" si="3"/>
        <v>0.3333333333333333</v>
      </c>
      <c r="W5" s="1"/>
      <c r="X5" s="1"/>
    </row>
    <row r="6" spans="1:22" ht="13.5" thickBot="1">
      <c r="A6" s="407" t="s">
        <v>17</v>
      </c>
      <c r="B6" s="129" t="s">
        <v>35</v>
      </c>
      <c r="C6" s="79" t="s">
        <v>62</v>
      </c>
      <c r="D6" s="79"/>
      <c r="E6" s="52"/>
      <c r="F6" s="18">
        <v>181</v>
      </c>
      <c r="G6" s="17">
        <v>181</v>
      </c>
      <c r="H6" s="147">
        <f t="shared" si="0"/>
        <v>1</v>
      </c>
      <c r="I6" s="93">
        <v>160</v>
      </c>
      <c r="J6" s="158">
        <f t="shared" si="4"/>
        <v>0.8839779005524862</v>
      </c>
      <c r="K6" s="52"/>
      <c r="L6" s="18">
        <v>2</v>
      </c>
      <c r="M6" s="17">
        <v>0</v>
      </c>
      <c r="N6" s="17">
        <v>4</v>
      </c>
      <c r="O6" s="70">
        <v>0</v>
      </c>
      <c r="P6" s="70">
        <v>82</v>
      </c>
      <c r="Q6" s="17">
        <v>0</v>
      </c>
      <c r="R6" s="35">
        <v>0</v>
      </c>
      <c r="S6" s="31"/>
      <c r="T6" s="38">
        <f t="shared" si="1"/>
        <v>88</v>
      </c>
      <c r="U6" s="28">
        <f t="shared" si="2"/>
        <v>0.03314917127071823</v>
      </c>
      <c r="V6" s="67">
        <f t="shared" si="3"/>
        <v>0.4861878453038674</v>
      </c>
    </row>
    <row r="7" spans="1:22" ht="12.75">
      <c r="A7" s="410"/>
      <c r="B7" s="128" t="s">
        <v>36</v>
      </c>
      <c r="C7" s="44" t="s">
        <v>62</v>
      </c>
      <c r="D7" s="44"/>
      <c r="E7" s="16"/>
      <c r="F7" s="21">
        <v>88</v>
      </c>
      <c r="G7" s="20">
        <v>88</v>
      </c>
      <c r="H7" s="148">
        <f t="shared" si="0"/>
        <v>1</v>
      </c>
      <c r="I7" s="55">
        <v>101</v>
      </c>
      <c r="J7" s="160">
        <f t="shared" si="4"/>
        <v>1.1477272727272727</v>
      </c>
      <c r="K7" s="16"/>
      <c r="L7" s="21">
        <v>0</v>
      </c>
      <c r="M7" s="20">
        <v>1</v>
      </c>
      <c r="N7" s="20">
        <v>2</v>
      </c>
      <c r="O7" s="71">
        <v>1</v>
      </c>
      <c r="P7" s="71">
        <v>44</v>
      </c>
      <c r="Q7" s="20">
        <v>0</v>
      </c>
      <c r="R7" s="36">
        <v>0</v>
      </c>
      <c r="S7" s="33"/>
      <c r="T7" s="39">
        <f t="shared" si="1"/>
        <v>48</v>
      </c>
      <c r="U7" s="29">
        <f t="shared" si="2"/>
        <v>0.03409090909090909</v>
      </c>
      <c r="V7" s="68">
        <f t="shared" si="3"/>
        <v>0.5454545454545454</v>
      </c>
    </row>
    <row r="8" spans="1:22" ht="13.5" thickBot="1">
      <c r="A8" s="410"/>
      <c r="B8" s="182" t="s">
        <v>120</v>
      </c>
      <c r="C8" s="183"/>
      <c r="D8" s="183" t="s">
        <v>62</v>
      </c>
      <c r="E8" s="19"/>
      <c r="F8" s="188">
        <v>0</v>
      </c>
      <c r="G8" s="189">
        <v>20</v>
      </c>
      <c r="H8" s="190">
        <f t="shared" si="0"/>
        <v>0</v>
      </c>
      <c r="I8" s="191">
        <v>0</v>
      </c>
      <c r="J8" s="192">
        <f t="shared" si="4"/>
        <v>0</v>
      </c>
      <c r="K8" s="19"/>
      <c r="L8" s="188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193">
        <v>0</v>
      </c>
      <c r="S8" s="34"/>
      <c r="T8" s="194">
        <f t="shared" si="1"/>
        <v>0</v>
      </c>
      <c r="U8" s="195">
        <f t="shared" si="2"/>
        <v>0</v>
      </c>
      <c r="V8" s="196">
        <f t="shared" si="3"/>
        <v>0</v>
      </c>
    </row>
    <row r="9" spans="1:24" ht="13.5" thickBot="1">
      <c r="A9" s="410"/>
      <c r="B9" s="182" t="s">
        <v>120</v>
      </c>
      <c r="C9" s="181"/>
      <c r="D9" s="181" t="s">
        <v>62</v>
      </c>
      <c r="E9" s="19"/>
      <c r="F9" s="197">
        <v>0</v>
      </c>
      <c r="G9" s="198">
        <v>20</v>
      </c>
      <c r="H9" s="199">
        <f t="shared" si="0"/>
        <v>0</v>
      </c>
      <c r="I9" s="200">
        <v>0</v>
      </c>
      <c r="J9" s="201">
        <f t="shared" si="4"/>
        <v>0</v>
      </c>
      <c r="K9" s="19"/>
      <c r="L9" s="197">
        <v>0</v>
      </c>
      <c r="M9" s="198">
        <v>0</v>
      </c>
      <c r="N9" s="198">
        <v>0</v>
      </c>
      <c r="O9" s="198">
        <v>0</v>
      </c>
      <c r="P9" s="198">
        <v>0</v>
      </c>
      <c r="Q9" s="198">
        <v>0</v>
      </c>
      <c r="R9" s="202">
        <v>0</v>
      </c>
      <c r="S9" s="31"/>
      <c r="T9" s="203">
        <f t="shared" si="1"/>
        <v>0</v>
      </c>
      <c r="U9" s="204">
        <f t="shared" si="2"/>
        <v>0</v>
      </c>
      <c r="V9" s="205">
        <f t="shared" si="3"/>
        <v>0</v>
      </c>
      <c r="W9" s="1"/>
      <c r="X9" s="1"/>
    </row>
    <row r="10" spans="1:24" ht="13.5" thickBot="1">
      <c r="A10" s="407" t="s">
        <v>52</v>
      </c>
      <c r="B10" s="129" t="s">
        <v>86</v>
      </c>
      <c r="C10" s="79"/>
      <c r="D10" s="79" t="s">
        <v>62</v>
      </c>
      <c r="E10" s="22"/>
      <c r="F10" s="17">
        <v>28</v>
      </c>
      <c r="G10" s="17">
        <v>28</v>
      </c>
      <c r="H10" s="147">
        <f t="shared" si="0"/>
        <v>1</v>
      </c>
      <c r="I10" s="93">
        <v>7</v>
      </c>
      <c r="J10" s="163">
        <f t="shared" si="4"/>
        <v>0.25</v>
      </c>
      <c r="K10" s="22"/>
      <c r="L10" s="17">
        <v>0</v>
      </c>
      <c r="M10" s="17">
        <v>4</v>
      </c>
      <c r="N10" s="17">
        <v>4</v>
      </c>
      <c r="O10" s="70">
        <v>0</v>
      </c>
      <c r="P10" s="70">
        <v>0</v>
      </c>
      <c r="Q10" s="17">
        <v>0</v>
      </c>
      <c r="R10" s="17">
        <v>0</v>
      </c>
      <c r="S10" s="16"/>
      <c r="T10" s="93">
        <f t="shared" si="1"/>
        <v>8</v>
      </c>
      <c r="U10" s="28">
        <f t="shared" si="2"/>
        <v>0.2857142857142857</v>
      </c>
      <c r="V10" s="67">
        <f t="shared" si="3"/>
        <v>0.2857142857142857</v>
      </c>
      <c r="W10" s="1"/>
      <c r="X10" s="1"/>
    </row>
    <row r="11" spans="1:24" ht="12.75">
      <c r="A11" s="408"/>
      <c r="B11" s="128" t="s">
        <v>87</v>
      </c>
      <c r="C11" s="44"/>
      <c r="D11" s="44" t="s">
        <v>62</v>
      </c>
      <c r="E11" s="32"/>
      <c r="F11" s="20">
        <v>24</v>
      </c>
      <c r="G11" s="20">
        <v>24</v>
      </c>
      <c r="H11" s="148">
        <f t="shared" si="0"/>
        <v>1</v>
      </c>
      <c r="I11" s="55">
        <v>23</v>
      </c>
      <c r="J11" s="164">
        <f t="shared" si="4"/>
        <v>0.9583333333333334</v>
      </c>
      <c r="K11" s="32"/>
      <c r="L11" s="20">
        <v>0</v>
      </c>
      <c r="M11" s="20">
        <v>0</v>
      </c>
      <c r="N11" s="20">
        <v>0</v>
      </c>
      <c r="O11" s="71">
        <v>0</v>
      </c>
      <c r="P11" s="71">
        <v>0</v>
      </c>
      <c r="Q11" s="20">
        <v>0</v>
      </c>
      <c r="R11" s="20">
        <v>0</v>
      </c>
      <c r="S11" s="19"/>
      <c r="T11" s="55">
        <f>SUM(L11:R11)</f>
        <v>0</v>
      </c>
      <c r="U11" s="29">
        <f t="shared" si="2"/>
        <v>0</v>
      </c>
      <c r="V11" s="68">
        <f t="shared" si="3"/>
        <v>0</v>
      </c>
      <c r="W11" s="1"/>
      <c r="X11" s="1"/>
    </row>
    <row r="12" spans="1:24" ht="13.5" thickBot="1">
      <c r="A12" s="412"/>
      <c r="B12" s="130" t="s">
        <v>88</v>
      </c>
      <c r="C12" s="45"/>
      <c r="D12" s="45" t="s">
        <v>62</v>
      </c>
      <c r="E12" s="52"/>
      <c r="F12" s="23">
        <v>12</v>
      </c>
      <c r="G12" s="23">
        <v>12</v>
      </c>
      <c r="H12" s="149">
        <f t="shared" si="0"/>
        <v>1</v>
      </c>
      <c r="I12" s="62">
        <v>7</v>
      </c>
      <c r="J12" s="165">
        <f t="shared" si="4"/>
        <v>0.5833333333333334</v>
      </c>
      <c r="K12" s="52"/>
      <c r="L12" s="23">
        <v>0</v>
      </c>
      <c r="M12" s="23">
        <v>0</v>
      </c>
      <c r="N12" s="23">
        <v>2</v>
      </c>
      <c r="O12" s="72">
        <v>0</v>
      </c>
      <c r="P12" s="72">
        <v>0</v>
      </c>
      <c r="Q12" s="23">
        <v>0</v>
      </c>
      <c r="R12" s="23">
        <v>0</v>
      </c>
      <c r="S12" s="22"/>
      <c r="T12" s="62">
        <f t="shared" si="1"/>
        <v>2</v>
      </c>
      <c r="U12" s="30">
        <f t="shared" si="2"/>
        <v>0.16666666666666666</v>
      </c>
      <c r="V12" s="69">
        <f t="shared" si="3"/>
        <v>0.16666666666666666</v>
      </c>
      <c r="W12" s="1"/>
      <c r="X12" s="1"/>
    </row>
    <row r="13" spans="1:22" ht="12.75">
      <c r="A13" s="408" t="s">
        <v>18</v>
      </c>
      <c r="B13" s="128" t="s">
        <v>109</v>
      </c>
      <c r="C13" s="44" t="s">
        <v>62</v>
      </c>
      <c r="D13" s="44" t="s">
        <v>62</v>
      </c>
      <c r="E13" s="31"/>
      <c r="F13" s="21">
        <v>46</v>
      </c>
      <c r="G13" s="20">
        <v>46</v>
      </c>
      <c r="H13" s="148">
        <f t="shared" si="0"/>
        <v>1</v>
      </c>
      <c r="I13" s="55">
        <v>90</v>
      </c>
      <c r="J13" s="160">
        <f t="shared" si="4"/>
        <v>1.9565217391304348</v>
      </c>
      <c r="K13" s="31"/>
      <c r="L13" s="21">
        <v>0</v>
      </c>
      <c r="M13" s="20">
        <v>2</v>
      </c>
      <c r="N13" s="20">
        <v>0</v>
      </c>
      <c r="O13" s="71">
        <v>14</v>
      </c>
      <c r="P13" s="71">
        <v>0</v>
      </c>
      <c r="Q13" s="20">
        <v>0</v>
      </c>
      <c r="R13" s="36">
        <v>0</v>
      </c>
      <c r="S13" s="33"/>
      <c r="T13" s="39">
        <f t="shared" si="1"/>
        <v>16</v>
      </c>
      <c r="U13" s="29">
        <f t="shared" si="2"/>
        <v>0.043478260869565216</v>
      </c>
      <c r="V13" s="68">
        <f t="shared" si="3"/>
        <v>0.34782608695652173</v>
      </c>
    </row>
    <row r="14" spans="1:22" ht="13.5" thickBot="1">
      <c r="A14" s="408"/>
      <c r="B14" s="130" t="s">
        <v>111</v>
      </c>
      <c r="C14" s="45" t="s">
        <v>62</v>
      </c>
      <c r="D14" s="45" t="s">
        <v>62</v>
      </c>
      <c r="E14" s="52"/>
      <c r="F14" s="24">
        <v>51</v>
      </c>
      <c r="G14" s="23">
        <v>51</v>
      </c>
      <c r="H14" s="149">
        <f t="shared" si="0"/>
        <v>1</v>
      </c>
      <c r="I14" s="62">
        <v>90</v>
      </c>
      <c r="J14" s="161">
        <f t="shared" si="4"/>
        <v>1.7647058823529411</v>
      </c>
      <c r="K14" s="52"/>
      <c r="L14" s="24">
        <v>3</v>
      </c>
      <c r="M14" s="23">
        <v>0</v>
      </c>
      <c r="N14" s="23">
        <v>0</v>
      </c>
      <c r="O14" s="72">
        <v>26</v>
      </c>
      <c r="P14" s="72">
        <v>0</v>
      </c>
      <c r="Q14" s="23">
        <v>0</v>
      </c>
      <c r="R14" s="37">
        <v>0</v>
      </c>
      <c r="S14" s="34"/>
      <c r="T14" s="40">
        <f t="shared" si="1"/>
        <v>29</v>
      </c>
      <c r="U14" s="30">
        <f t="shared" si="2"/>
        <v>0.058823529411764705</v>
      </c>
      <c r="V14" s="69">
        <f t="shared" si="3"/>
        <v>0.5686274509803921</v>
      </c>
    </row>
    <row r="15" spans="1:22" ht="13.5" thickBot="1">
      <c r="A15" s="80" t="s">
        <v>19</v>
      </c>
      <c r="B15" s="132" t="s">
        <v>10</v>
      </c>
      <c r="C15" s="81" t="s">
        <v>62</v>
      </c>
      <c r="D15" s="81" t="s">
        <v>62</v>
      </c>
      <c r="E15" s="16"/>
      <c r="F15" s="82">
        <v>36</v>
      </c>
      <c r="G15" s="83">
        <v>36</v>
      </c>
      <c r="H15" s="152">
        <f t="shared" si="0"/>
        <v>1</v>
      </c>
      <c r="I15" s="155">
        <v>99</v>
      </c>
      <c r="J15" s="166">
        <f t="shared" si="4"/>
        <v>2.75</v>
      </c>
      <c r="K15" s="16"/>
      <c r="L15" s="82">
        <v>1</v>
      </c>
      <c r="M15" s="83">
        <v>0</v>
      </c>
      <c r="N15" s="83">
        <v>2</v>
      </c>
      <c r="O15" s="86">
        <v>0</v>
      </c>
      <c r="P15" s="86">
        <v>0</v>
      </c>
      <c r="Q15" s="83">
        <v>0</v>
      </c>
      <c r="R15" s="87">
        <v>3</v>
      </c>
      <c r="S15" s="85"/>
      <c r="T15" s="88">
        <f aca="true" t="shared" si="5" ref="T15:T37">SUM(L15:R15)</f>
        <v>6</v>
      </c>
      <c r="U15" s="89">
        <f t="shared" si="2"/>
        <v>0.16666666666666666</v>
      </c>
      <c r="V15" s="84">
        <f t="shared" si="3"/>
        <v>0.16666666666666666</v>
      </c>
    </row>
    <row r="16" spans="1:24" ht="13.5" thickBot="1">
      <c r="A16" s="407" t="s">
        <v>53</v>
      </c>
      <c r="B16" s="129" t="s">
        <v>110</v>
      </c>
      <c r="C16" s="79"/>
      <c r="D16" s="79" t="s">
        <v>62</v>
      </c>
      <c r="E16" s="22"/>
      <c r="F16" s="18">
        <v>24</v>
      </c>
      <c r="G16" s="17">
        <v>24</v>
      </c>
      <c r="H16" s="147">
        <f t="shared" si="0"/>
        <v>1</v>
      </c>
      <c r="I16" s="93">
        <v>103</v>
      </c>
      <c r="J16" s="158">
        <f t="shared" si="4"/>
        <v>4.291666666666667</v>
      </c>
      <c r="K16" s="22"/>
      <c r="L16" s="18">
        <v>0</v>
      </c>
      <c r="M16" s="17">
        <v>0</v>
      </c>
      <c r="N16" s="17">
        <v>0</v>
      </c>
      <c r="O16" s="70">
        <v>8</v>
      </c>
      <c r="P16" s="70">
        <v>0</v>
      </c>
      <c r="Q16" s="17">
        <v>0</v>
      </c>
      <c r="R16" s="35">
        <v>0</v>
      </c>
      <c r="S16" s="31"/>
      <c r="T16" s="38">
        <f t="shared" si="5"/>
        <v>8</v>
      </c>
      <c r="U16" s="28">
        <f t="shared" si="2"/>
        <v>0</v>
      </c>
      <c r="V16" s="67">
        <f t="shared" si="3"/>
        <v>0.3333333333333333</v>
      </c>
      <c r="W16" s="1"/>
      <c r="X16" s="1"/>
    </row>
    <row r="17" spans="1:24" ht="13.5" thickBot="1">
      <c r="A17" s="412"/>
      <c r="B17" s="130" t="s">
        <v>35</v>
      </c>
      <c r="C17" s="45"/>
      <c r="D17" s="45" t="s">
        <v>62</v>
      </c>
      <c r="E17" s="32"/>
      <c r="F17" s="24">
        <v>17</v>
      </c>
      <c r="G17" s="23">
        <v>17</v>
      </c>
      <c r="H17" s="149">
        <f t="shared" si="0"/>
        <v>1</v>
      </c>
      <c r="I17" s="62">
        <v>73</v>
      </c>
      <c r="J17" s="161">
        <f t="shared" si="4"/>
        <v>4.294117647058823</v>
      </c>
      <c r="K17" s="32"/>
      <c r="L17" s="24">
        <v>0</v>
      </c>
      <c r="M17" s="23">
        <v>0</v>
      </c>
      <c r="N17" s="23">
        <v>0</v>
      </c>
      <c r="O17" s="72">
        <v>6</v>
      </c>
      <c r="P17" s="72">
        <v>0</v>
      </c>
      <c r="Q17" s="23">
        <v>0</v>
      </c>
      <c r="R17" s="37">
        <v>0</v>
      </c>
      <c r="S17" s="34"/>
      <c r="T17" s="40">
        <f t="shared" si="5"/>
        <v>6</v>
      </c>
      <c r="U17" s="30">
        <f t="shared" si="2"/>
        <v>0</v>
      </c>
      <c r="V17" s="69">
        <f t="shared" si="3"/>
        <v>0.35294117647058826</v>
      </c>
      <c r="W17" s="1"/>
      <c r="X17" s="1"/>
    </row>
    <row r="18" spans="1:24" ht="13.5" thickBot="1">
      <c r="A18" s="407" t="s">
        <v>54</v>
      </c>
      <c r="B18" s="129" t="s">
        <v>99</v>
      </c>
      <c r="C18" s="79"/>
      <c r="D18" s="79" t="s">
        <v>62</v>
      </c>
      <c r="E18" s="52"/>
      <c r="F18" s="18">
        <v>18</v>
      </c>
      <c r="G18" s="17">
        <v>18</v>
      </c>
      <c r="H18" s="147">
        <f t="shared" si="0"/>
        <v>1</v>
      </c>
      <c r="I18" s="93">
        <v>23</v>
      </c>
      <c r="J18" s="158">
        <f t="shared" si="4"/>
        <v>1.2777777777777777</v>
      </c>
      <c r="K18" s="52"/>
      <c r="L18" s="18">
        <v>0</v>
      </c>
      <c r="M18" s="17">
        <v>0</v>
      </c>
      <c r="N18" s="17">
        <v>0</v>
      </c>
      <c r="O18" s="70">
        <v>18</v>
      </c>
      <c r="P18" s="70">
        <v>0</v>
      </c>
      <c r="Q18" s="17">
        <v>0</v>
      </c>
      <c r="R18" s="35">
        <v>0</v>
      </c>
      <c r="S18" s="31"/>
      <c r="T18" s="38">
        <f t="shared" si="5"/>
        <v>18</v>
      </c>
      <c r="U18" s="28">
        <f t="shared" si="2"/>
        <v>0</v>
      </c>
      <c r="V18" s="67">
        <f t="shared" si="3"/>
        <v>1</v>
      </c>
      <c r="W18" s="1"/>
      <c r="X18" s="1"/>
    </row>
    <row r="19" spans="1:24" ht="13.5" thickBot="1">
      <c r="A19" s="412"/>
      <c r="B19" s="130" t="s">
        <v>100</v>
      </c>
      <c r="C19" s="45"/>
      <c r="D19" s="45" t="s">
        <v>62</v>
      </c>
      <c r="E19" s="31"/>
      <c r="F19" s="24">
        <v>15</v>
      </c>
      <c r="G19" s="23">
        <v>15</v>
      </c>
      <c r="H19" s="149">
        <f t="shared" si="0"/>
        <v>1</v>
      </c>
      <c r="I19" s="62">
        <v>22</v>
      </c>
      <c r="J19" s="161">
        <f t="shared" si="4"/>
        <v>1.4666666666666666</v>
      </c>
      <c r="K19" s="31"/>
      <c r="L19" s="24">
        <v>0</v>
      </c>
      <c r="M19" s="23">
        <v>0</v>
      </c>
      <c r="N19" s="23">
        <v>0</v>
      </c>
      <c r="O19" s="72">
        <v>15</v>
      </c>
      <c r="P19" s="72">
        <v>0</v>
      </c>
      <c r="Q19" s="23">
        <v>0</v>
      </c>
      <c r="R19" s="37">
        <v>0</v>
      </c>
      <c r="S19" s="34"/>
      <c r="T19" s="40">
        <f t="shared" si="5"/>
        <v>15</v>
      </c>
      <c r="U19" s="30">
        <f t="shared" si="2"/>
        <v>0</v>
      </c>
      <c r="V19" s="69">
        <f t="shared" si="3"/>
        <v>1</v>
      </c>
      <c r="W19" s="1"/>
      <c r="X19" s="1"/>
    </row>
    <row r="20" spans="1:24" ht="13.5" thickBot="1">
      <c r="A20" s="124" t="s">
        <v>55</v>
      </c>
      <c r="B20" s="132" t="s">
        <v>98</v>
      </c>
      <c r="C20" s="81"/>
      <c r="D20" s="81" t="s">
        <v>62</v>
      </c>
      <c r="E20" s="34"/>
      <c r="F20" s="82">
        <v>30</v>
      </c>
      <c r="G20" s="83">
        <v>30</v>
      </c>
      <c r="H20" s="152">
        <f t="shared" si="0"/>
        <v>1</v>
      </c>
      <c r="I20" s="155">
        <v>41</v>
      </c>
      <c r="J20" s="166">
        <f t="shared" si="4"/>
        <v>1.3666666666666667</v>
      </c>
      <c r="K20" s="34"/>
      <c r="L20" s="82">
        <v>0</v>
      </c>
      <c r="M20" s="83">
        <v>0</v>
      </c>
      <c r="N20" s="83">
        <v>1</v>
      </c>
      <c r="O20" s="86">
        <v>29</v>
      </c>
      <c r="P20" s="86">
        <v>0</v>
      </c>
      <c r="Q20" s="83">
        <v>0</v>
      </c>
      <c r="R20" s="87">
        <v>0</v>
      </c>
      <c r="S20" s="85"/>
      <c r="T20" s="88">
        <f t="shared" si="5"/>
        <v>30</v>
      </c>
      <c r="U20" s="89">
        <f t="shared" si="2"/>
        <v>0.03333333333333333</v>
      </c>
      <c r="V20" s="84">
        <f t="shared" si="3"/>
        <v>1</v>
      </c>
      <c r="W20" s="1"/>
      <c r="X20" s="1"/>
    </row>
    <row r="21" spans="1:22" ht="13.5" thickBot="1">
      <c r="A21" s="408" t="s">
        <v>20</v>
      </c>
      <c r="B21" s="131" t="s">
        <v>76</v>
      </c>
      <c r="C21" s="73" t="s">
        <v>62</v>
      </c>
      <c r="D21" s="73"/>
      <c r="E21" s="32"/>
      <c r="F21" s="61">
        <v>149</v>
      </c>
      <c r="G21" s="26">
        <v>149</v>
      </c>
      <c r="H21" s="150">
        <f t="shared" si="0"/>
        <v>1</v>
      </c>
      <c r="I21" s="112">
        <v>265</v>
      </c>
      <c r="J21" s="159">
        <f t="shared" si="4"/>
        <v>1.778523489932886</v>
      </c>
      <c r="K21" s="32"/>
      <c r="L21" s="61">
        <v>0</v>
      </c>
      <c r="M21" s="26">
        <v>0</v>
      </c>
      <c r="N21" s="26">
        <v>13</v>
      </c>
      <c r="O21" s="75">
        <v>6</v>
      </c>
      <c r="P21" s="75">
        <v>32</v>
      </c>
      <c r="Q21" s="26">
        <v>0</v>
      </c>
      <c r="R21" s="76">
        <v>0</v>
      </c>
      <c r="S21" s="32"/>
      <c r="T21" s="77">
        <f t="shared" si="5"/>
        <v>51</v>
      </c>
      <c r="U21" s="78">
        <f t="shared" si="2"/>
        <v>0.087248322147651</v>
      </c>
      <c r="V21" s="74">
        <f t="shared" si="3"/>
        <v>0.3422818791946309</v>
      </c>
    </row>
    <row r="22" spans="1:22" ht="13.5" thickBot="1">
      <c r="A22" s="410"/>
      <c r="B22" s="133" t="s">
        <v>32</v>
      </c>
      <c r="C22" s="48" t="s">
        <v>62</v>
      </c>
      <c r="D22" s="48"/>
      <c r="E22" s="31"/>
      <c r="F22" s="50">
        <v>78</v>
      </c>
      <c r="G22" s="49">
        <v>78</v>
      </c>
      <c r="H22" s="151">
        <f t="shared" si="0"/>
        <v>1</v>
      </c>
      <c r="I22" s="154">
        <v>97</v>
      </c>
      <c r="J22" s="162">
        <f t="shared" si="4"/>
        <v>1.2435897435897436</v>
      </c>
      <c r="K22" s="31"/>
      <c r="L22" s="50">
        <v>0</v>
      </c>
      <c r="M22" s="49">
        <v>0</v>
      </c>
      <c r="N22" s="49">
        <v>0</v>
      </c>
      <c r="O22" s="91">
        <v>0</v>
      </c>
      <c r="P22" s="91">
        <v>18</v>
      </c>
      <c r="Q22" s="49">
        <v>0</v>
      </c>
      <c r="R22" s="51">
        <v>0</v>
      </c>
      <c r="S22" s="52"/>
      <c r="T22" s="54">
        <f t="shared" si="5"/>
        <v>18</v>
      </c>
      <c r="U22" s="53">
        <f t="shared" si="2"/>
        <v>0</v>
      </c>
      <c r="V22" s="90">
        <f t="shared" si="3"/>
        <v>0.23076923076923078</v>
      </c>
    </row>
    <row r="23" spans="1:22" ht="12.75">
      <c r="A23" s="405" t="s">
        <v>21</v>
      </c>
      <c r="B23" s="129" t="s">
        <v>30</v>
      </c>
      <c r="C23" s="79" t="s">
        <v>62</v>
      </c>
      <c r="D23" s="79"/>
      <c r="E23" s="33"/>
      <c r="F23" s="17">
        <v>86</v>
      </c>
      <c r="G23" s="17">
        <v>86</v>
      </c>
      <c r="H23" s="147">
        <f t="shared" si="0"/>
        <v>1</v>
      </c>
      <c r="I23" s="93">
        <v>43</v>
      </c>
      <c r="J23" s="163">
        <f t="shared" si="4"/>
        <v>0.5</v>
      </c>
      <c r="K23" s="33"/>
      <c r="L23" s="17">
        <v>0</v>
      </c>
      <c r="M23" s="17">
        <v>38</v>
      </c>
      <c r="N23" s="17">
        <v>0</v>
      </c>
      <c r="O23" s="70">
        <v>0</v>
      </c>
      <c r="P23" s="70">
        <v>0</v>
      </c>
      <c r="Q23" s="17">
        <v>0</v>
      </c>
      <c r="R23" s="17">
        <v>0</v>
      </c>
      <c r="S23" s="16"/>
      <c r="T23" s="93">
        <f t="shared" si="5"/>
        <v>38</v>
      </c>
      <c r="U23" s="28">
        <f t="shared" si="2"/>
        <v>0.4418604651162791</v>
      </c>
      <c r="V23" s="67">
        <f t="shared" si="3"/>
        <v>0.4418604651162791</v>
      </c>
    </row>
    <row r="24" spans="1:22" ht="12.75">
      <c r="A24" s="416"/>
      <c r="B24" s="128" t="s">
        <v>31</v>
      </c>
      <c r="C24" s="44" t="s">
        <v>62</v>
      </c>
      <c r="D24" s="44" t="s">
        <v>5</v>
      </c>
      <c r="E24" s="33"/>
      <c r="F24" s="20">
        <v>87</v>
      </c>
      <c r="G24" s="20">
        <v>87</v>
      </c>
      <c r="H24" s="148">
        <f t="shared" si="0"/>
        <v>1</v>
      </c>
      <c r="I24" s="55">
        <v>80</v>
      </c>
      <c r="J24" s="164">
        <f t="shared" si="4"/>
        <v>0.9195402298850575</v>
      </c>
      <c r="K24" s="33"/>
      <c r="L24" s="20">
        <v>0</v>
      </c>
      <c r="M24" s="20">
        <v>30</v>
      </c>
      <c r="N24" s="20">
        <v>4</v>
      </c>
      <c r="O24" s="71">
        <v>0</v>
      </c>
      <c r="P24" s="71">
        <v>0</v>
      </c>
      <c r="Q24" s="20">
        <v>0</v>
      </c>
      <c r="R24" s="20">
        <v>0</v>
      </c>
      <c r="S24" s="19"/>
      <c r="T24" s="55">
        <f>SUM(L24:R24)</f>
        <v>34</v>
      </c>
      <c r="U24" s="29">
        <f t="shared" si="2"/>
        <v>0.39080459770114945</v>
      </c>
      <c r="V24" s="68">
        <f t="shared" si="3"/>
        <v>0.39080459770114945</v>
      </c>
    </row>
    <row r="25" spans="1:22" ht="13.5" thickBot="1">
      <c r="A25" s="417"/>
      <c r="B25" s="128" t="s">
        <v>31</v>
      </c>
      <c r="C25" s="44" t="s">
        <v>5</v>
      </c>
      <c r="D25" s="44" t="s">
        <v>62</v>
      </c>
      <c r="E25" s="34"/>
      <c r="F25" s="20">
        <v>6</v>
      </c>
      <c r="G25" s="20">
        <v>6</v>
      </c>
      <c r="H25" s="148">
        <f t="shared" si="0"/>
        <v>1</v>
      </c>
      <c r="I25" s="55">
        <v>84</v>
      </c>
      <c r="J25" s="164">
        <f t="shared" si="4"/>
        <v>14</v>
      </c>
      <c r="K25" s="34"/>
      <c r="L25" s="20">
        <v>0</v>
      </c>
      <c r="M25" s="20">
        <v>0</v>
      </c>
      <c r="N25" s="20">
        <v>0</v>
      </c>
      <c r="O25" s="71">
        <v>6</v>
      </c>
      <c r="P25" s="71">
        <v>0</v>
      </c>
      <c r="Q25" s="20">
        <v>0</v>
      </c>
      <c r="R25" s="20">
        <v>0</v>
      </c>
      <c r="S25" s="19"/>
      <c r="T25" s="55">
        <f t="shared" si="5"/>
        <v>6</v>
      </c>
      <c r="U25" s="29">
        <f t="shared" si="2"/>
        <v>0</v>
      </c>
      <c r="V25" s="68">
        <f t="shared" si="3"/>
        <v>1</v>
      </c>
    </row>
    <row r="26" spans="1:22" ht="13.5" thickBot="1">
      <c r="A26" s="418"/>
      <c r="B26" s="130" t="s">
        <v>108</v>
      </c>
      <c r="C26" s="45"/>
      <c r="D26" s="45" t="s">
        <v>62</v>
      </c>
      <c r="E26" s="32"/>
      <c r="F26" s="23">
        <v>4</v>
      </c>
      <c r="G26" s="23">
        <v>4</v>
      </c>
      <c r="H26" s="149">
        <f t="shared" si="0"/>
        <v>1</v>
      </c>
      <c r="I26" s="62">
        <v>7</v>
      </c>
      <c r="J26" s="165">
        <f t="shared" si="4"/>
        <v>1.75</v>
      </c>
      <c r="K26" s="32"/>
      <c r="L26" s="23">
        <v>0</v>
      </c>
      <c r="M26" s="23">
        <v>0</v>
      </c>
      <c r="N26" s="23">
        <v>0</v>
      </c>
      <c r="O26" s="72">
        <v>4</v>
      </c>
      <c r="P26" s="72">
        <v>0</v>
      </c>
      <c r="Q26" s="23">
        <v>0</v>
      </c>
      <c r="R26" s="23">
        <v>0</v>
      </c>
      <c r="S26" s="22"/>
      <c r="T26" s="62">
        <f>SUM(L26:R26)</f>
        <v>4</v>
      </c>
      <c r="U26" s="30">
        <f t="shared" si="2"/>
        <v>0</v>
      </c>
      <c r="V26" s="69">
        <f t="shared" si="3"/>
        <v>1</v>
      </c>
    </row>
    <row r="27" spans="1:25" s="4" customFormat="1" ht="14.25">
      <c r="A27" s="408" t="s">
        <v>2</v>
      </c>
      <c r="B27" s="131" t="s">
        <v>33</v>
      </c>
      <c r="C27" s="73" t="s">
        <v>62</v>
      </c>
      <c r="D27" s="73"/>
      <c r="E27" s="52"/>
      <c r="F27" s="61">
        <v>10</v>
      </c>
      <c r="G27" s="26">
        <v>10</v>
      </c>
      <c r="H27" s="150">
        <f t="shared" si="0"/>
        <v>1</v>
      </c>
      <c r="I27" s="112">
        <v>6</v>
      </c>
      <c r="J27" s="159">
        <f t="shared" si="4"/>
        <v>0.6</v>
      </c>
      <c r="K27" s="52"/>
      <c r="L27" s="61">
        <v>0</v>
      </c>
      <c r="M27" s="26">
        <v>0</v>
      </c>
      <c r="N27" s="26">
        <v>0</v>
      </c>
      <c r="O27" s="75">
        <v>0</v>
      </c>
      <c r="P27" s="75">
        <v>1</v>
      </c>
      <c r="Q27" s="26">
        <v>0</v>
      </c>
      <c r="R27" s="76">
        <v>0</v>
      </c>
      <c r="S27" s="32"/>
      <c r="T27" s="77">
        <f t="shared" si="5"/>
        <v>1</v>
      </c>
      <c r="U27" s="78">
        <f t="shared" si="2"/>
        <v>0</v>
      </c>
      <c r="V27" s="74">
        <f t="shared" si="3"/>
        <v>0.1</v>
      </c>
      <c r="Y27" s="47"/>
    </row>
    <row r="28" spans="1:22" s="4" customFormat="1" ht="13.5" thickBot="1">
      <c r="A28" s="410"/>
      <c r="B28" s="133" t="s">
        <v>34</v>
      </c>
      <c r="C28" s="48" t="s">
        <v>62</v>
      </c>
      <c r="D28" s="48"/>
      <c r="E28" s="19"/>
      <c r="F28" s="50">
        <v>14</v>
      </c>
      <c r="G28" s="49">
        <v>14</v>
      </c>
      <c r="H28" s="151">
        <f t="shared" si="0"/>
        <v>1</v>
      </c>
      <c r="I28" s="154">
        <v>12</v>
      </c>
      <c r="J28" s="162">
        <f t="shared" si="4"/>
        <v>0.8571428571428571</v>
      </c>
      <c r="K28" s="19"/>
      <c r="L28" s="50">
        <v>0</v>
      </c>
      <c r="M28" s="49">
        <v>0</v>
      </c>
      <c r="N28" s="49">
        <v>0</v>
      </c>
      <c r="O28" s="91">
        <v>0</v>
      </c>
      <c r="P28" s="91">
        <v>0</v>
      </c>
      <c r="Q28" s="49">
        <v>4</v>
      </c>
      <c r="R28" s="51">
        <v>0</v>
      </c>
      <c r="S28" s="19"/>
      <c r="T28" s="54">
        <f t="shared" si="5"/>
        <v>4</v>
      </c>
      <c r="U28" s="53">
        <f t="shared" si="2"/>
        <v>0.2857142857142857</v>
      </c>
      <c r="V28" s="90">
        <f t="shared" si="3"/>
        <v>0.2857142857142857</v>
      </c>
    </row>
    <row r="29" spans="1:24" ht="13.5" thickBot="1">
      <c r="A29" s="407" t="s">
        <v>56</v>
      </c>
      <c r="B29" s="184" t="s">
        <v>107</v>
      </c>
      <c r="C29" s="185"/>
      <c r="D29" s="185" t="s">
        <v>62</v>
      </c>
      <c r="E29" s="22"/>
      <c r="F29" s="215">
        <v>0</v>
      </c>
      <c r="G29" s="216">
        <v>0</v>
      </c>
      <c r="H29" s="217">
        <f t="shared" si="0"/>
        <v>0</v>
      </c>
      <c r="I29" s="218">
        <v>0</v>
      </c>
      <c r="J29" s="219">
        <f t="shared" si="4"/>
        <v>0</v>
      </c>
      <c r="K29" s="22"/>
      <c r="L29" s="215">
        <v>0</v>
      </c>
      <c r="M29" s="216">
        <v>0</v>
      </c>
      <c r="N29" s="216">
        <v>0</v>
      </c>
      <c r="O29" s="216">
        <v>0</v>
      </c>
      <c r="P29" s="216">
        <v>0</v>
      </c>
      <c r="Q29" s="216">
        <v>0</v>
      </c>
      <c r="R29" s="220">
        <v>0</v>
      </c>
      <c r="S29" s="22"/>
      <c r="T29" s="221">
        <f t="shared" si="5"/>
        <v>0</v>
      </c>
      <c r="U29" s="222">
        <f t="shared" si="2"/>
        <v>0</v>
      </c>
      <c r="V29" s="223">
        <f t="shared" si="3"/>
        <v>0</v>
      </c>
      <c r="W29" s="1"/>
      <c r="X29" s="1"/>
    </row>
    <row r="30" spans="1:24" ht="13.5" thickBot="1">
      <c r="A30" s="408"/>
      <c r="B30" s="179" t="s">
        <v>107</v>
      </c>
      <c r="C30" s="181"/>
      <c r="D30" s="181" t="s">
        <v>62</v>
      </c>
      <c r="E30" s="32"/>
      <c r="F30" s="197">
        <v>0</v>
      </c>
      <c r="G30" s="198">
        <v>0</v>
      </c>
      <c r="H30" s="199">
        <f t="shared" si="0"/>
        <v>0</v>
      </c>
      <c r="I30" s="200">
        <v>0</v>
      </c>
      <c r="J30" s="201">
        <f t="shared" si="4"/>
        <v>0</v>
      </c>
      <c r="K30" s="32"/>
      <c r="L30" s="197">
        <v>0</v>
      </c>
      <c r="M30" s="198">
        <v>0</v>
      </c>
      <c r="N30" s="198">
        <v>0</v>
      </c>
      <c r="O30" s="198">
        <v>0</v>
      </c>
      <c r="P30" s="198">
        <v>0</v>
      </c>
      <c r="Q30" s="198">
        <v>0</v>
      </c>
      <c r="R30" s="202">
        <v>0</v>
      </c>
      <c r="S30" s="32"/>
      <c r="T30" s="203">
        <f t="shared" si="5"/>
        <v>0</v>
      </c>
      <c r="U30" s="204">
        <f t="shared" si="2"/>
        <v>0</v>
      </c>
      <c r="V30" s="205">
        <f t="shared" si="3"/>
        <v>0</v>
      </c>
      <c r="W30" s="1"/>
      <c r="X30" s="1"/>
    </row>
    <row r="31" spans="1:24" ht="13.5" thickBot="1">
      <c r="A31" s="405" t="s">
        <v>81</v>
      </c>
      <c r="B31" s="129" t="s">
        <v>79</v>
      </c>
      <c r="C31" s="79"/>
      <c r="D31" s="79" t="s">
        <v>62</v>
      </c>
      <c r="E31" s="52"/>
      <c r="F31" s="17">
        <v>33</v>
      </c>
      <c r="G31" s="17">
        <v>33</v>
      </c>
      <c r="H31" s="147">
        <f t="shared" si="0"/>
        <v>1</v>
      </c>
      <c r="I31" s="93">
        <v>0</v>
      </c>
      <c r="J31" s="163">
        <f t="shared" si="4"/>
        <v>0</v>
      </c>
      <c r="K31" s="52"/>
      <c r="L31" s="17">
        <v>0</v>
      </c>
      <c r="M31" s="17">
        <v>4</v>
      </c>
      <c r="N31" s="17">
        <v>0</v>
      </c>
      <c r="O31" s="70">
        <v>29</v>
      </c>
      <c r="P31" s="70">
        <v>0</v>
      </c>
      <c r="Q31" s="17">
        <v>0</v>
      </c>
      <c r="R31" s="17">
        <v>0</v>
      </c>
      <c r="S31" s="16"/>
      <c r="T31" s="93">
        <f>SUM(L31:R31)</f>
        <v>33</v>
      </c>
      <c r="U31" s="28">
        <f t="shared" si="2"/>
        <v>0.12121212121212122</v>
      </c>
      <c r="V31" s="67">
        <f t="shared" si="3"/>
        <v>1</v>
      </c>
      <c r="W31" s="1"/>
      <c r="X31" s="1"/>
    </row>
    <row r="32" spans="1:24" ht="13.5" thickBot="1">
      <c r="A32" s="406"/>
      <c r="B32" s="130" t="s">
        <v>80</v>
      </c>
      <c r="C32" s="45"/>
      <c r="D32" s="45" t="s">
        <v>62</v>
      </c>
      <c r="E32" s="31"/>
      <c r="F32" s="23">
        <v>36</v>
      </c>
      <c r="G32" s="23">
        <v>36</v>
      </c>
      <c r="H32" s="149">
        <f t="shared" si="0"/>
        <v>1</v>
      </c>
      <c r="I32" s="62">
        <v>0</v>
      </c>
      <c r="J32" s="165">
        <f t="shared" si="4"/>
        <v>0</v>
      </c>
      <c r="K32" s="31"/>
      <c r="L32" s="23">
        <v>0</v>
      </c>
      <c r="M32" s="23">
        <v>0</v>
      </c>
      <c r="N32" s="23">
        <v>0</v>
      </c>
      <c r="O32" s="72">
        <v>0</v>
      </c>
      <c r="P32" s="72">
        <v>0</v>
      </c>
      <c r="Q32" s="23">
        <v>0</v>
      </c>
      <c r="R32" s="23">
        <v>0</v>
      </c>
      <c r="S32" s="22"/>
      <c r="T32" s="62">
        <f>SUM(L32:R32)</f>
        <v>0</v>
      </c>
      <c r="U32" s="30">
        <f t="shared" si="2"/>
        <v>0</v>
      </c>
      <c r="V32" s="69">
        <f t="shared" si="3"/>
        <v>0</v>
      </c>
      <c r="W32" s="1"/>
      <c r="X32" s="1"/>
    </row>
    <row r="33" spans="1:24" ht="13.5" thickBot="1">
      <c r="A33" s="408" t="s">
        <v>57</v>
      </c>
      <c r="B33" s="131" t="s">
        <v>113</v>
      </c>
      <c r="C33" s="73"/>
      <c r="D33" s="73" t="s">
        <v>62</v>
      </c>
      <c r="E33" s="34"/>
      <c r="F33" s="61">
        <v>43</v>
      </c>
      <c r="G33" s="26">
        <v>43</v>
      </c>
      <c r="H33" s="150">
        <f t="shared" si="0"/>
        <v>1</v>
      </c>
      <c r="I33" s="112">
        <v>55</v>
      </c>
      <c r="J33" s="159">
        <f t="shared" si="4"/>
        <v>1.2790697674418605</v>
      </c>
      <c r="K33" s="34"/>
      <c r="L33" s="61">
        <v>0</v>
      </c>
      <c r="M33" s="26">
        <v>0</v>
      </c>
      <c r="N33" s="26">
        <v>15</v>
      </c>
      <c r="O33" s="75">
        <v>0</v>
      </c>
      <c r="P33" s="75">
        <v>0</v>
      </c>
      <c r="Q33" s="26">
        <v>0</v>
      </c>
      <c r="R33" s="76">
        <v>0</v>
      </c>
      <c r="S33" s="32"/>
      <c r="T33" s="77">
        <f>SUM(L33:R33)</f>
        <v>15</v>
      </c>
      <c r="U33" s="78">
        <f t="shared" si="2"/>
        <v>0.3488372093023256</v>
      </c>
      <c r="V33" s="74">
        <f t="shared" si="3"/>
        <v>0.3488372093023256</v>
      </c>
      <c r="W33" s="1"/>
      <c r="X33" s="1"/>
    </row>
    <row r="34" spans="1:24" ht="13.5" thickBot="1">
      <c r="A34" s="410"/>
      <c r="B34" s="133" t="s">
        <v>119</v>
      </c>
      <c r="C34" s="48"/>
      <c r="D34" s="48" t="s">
        <v>62</v>
      </c>
      <c r="E34" s="32"/>
      <c r="F34" s="50">
        <v>5</v>
      </c>
      <c r="G34" s="49">
        <v>5</v>
      </c>
      <c r="H34" s="151">
        <f t="shared" si="0"/>
        <v>1</v>
      </c>
      <c r="I34" s="154">
        <v>5</v>
      </c>
      <c r="J34" s="162">
        <f t="shared" si="4"/>
        <v>1</v>
      </c>
      <c r="K34" s="32"/>
      <c r="L34" s="50">
        <v>0</v>
      </c>
      <c r="M34" s="49">
        <v>0</v>
      </c>
      <c r="N34" s="49">
        <v>0</v>
      </c>
      <c r="O34" s="91">
        <v>0</v>
      </c>
      <c r="P34" s="91">
        <v>0</v>
      </c>
      <c r="Q34" s="49">
        <v>0</v>
      </c>
      <c r="R34" s="51">
        <v>0</v>
      </c>
      <c r="S34" s="52"/>
      <c r="T34" s="54">
        <f>SUM(L34:R34)</f>
        <v>0</v>
      </c>
      <c r="U34" s="53">
        <f aca="true" t="shared" si="6" ref="U34:U65">IF(F34&lt;&gt;0,(L34+M34+N34+Q34+R34)/F34,0)</f>
        <v>0</v>
      </c>
      <c r="V34" s="90">
        <f aca="true" t="shared" si="7" ref="V34:V65">IF(F34&lt;&gt;0,(T34)/F34,0)</f>
        <v>0</v>
      </c>
      <c r="W34" s="1"/>
      <c r="X34" s="1"/>
    </row>
    <row r="35" spans="1:22" s="4" customFormat="1" ht="13.5" thickBot="1">
      <c r="A35" s="407" t="s">
        <v>3</v>
      </c>
      <c r="B35" s="129" t="s">
        <v>43</v>
      </c>
      <c r="C35" s="79" t="s">
        <v>62</v>
      </c>
      <c r="D35" s="79"/>
      <c r="E35" s="52"/>
      <c r="F35" s="18">
        <v>24</v>
      </c>
      <c r="G35" s="17">
        <v>24</v>
      </c>
      <c r="H35" s="147">
        <f t="shared" si="0"/>
        <v>1</v>
      </c>
      <c r="I35" s="93">
        <v>43</v>
      </c>
      <c r="J35" s="158">
        <f t="shared" si="4"/>
        <v>1.7916666666666667</v>
      </c>
      <c r="K35" s="52"/>
      <c r="L35" s="18">
        <v>0</v>
      </c>
      <c r="M35" s="17">
        <v>0</v>
      </c>
      <c r="N35" s="17">
        <v>0</v>
      </c>
      <c r="O35" s="70">
        <v>0</v>
      </c>
      <c r="P35" s="70">
        <v>11</v>
      </c>
      <c r="Q35" s="17">
        <v>0</v>
      </c>
      <c r="R35" s="35">
        <v>0</v>
      </c>
      <c r="S35" s="31"/>
      <c r="T35" s="38">
        <f t="shared" si="5"/>
        <v>11</v>
      </c>
      <c r="U35" s="28">
        <f t="shared" si="6"/>
        <v>0</v>
      </c>
      <c r="V35" s="67">
        <f t="shared" si="7"/>
        <v>0.4583333333333333</v>
      </c>
    </row>
    <row r="36" spans="1:22" s="4" customFormat="1" ht="13.5" thickBot="1">
      <c r="A36" s="409"/>
      <c r="B36" s="130" t="s">
        <v>44</v>
      </c>
      <c r="C36" s="45" t="s">
        <v>62</v>
      </c>
      <c r="D36" s="45" t="s">
        <v>62</v>
      </c>
      <c r="E36" s="31"/>
      <c r="F36" s="24">
        <v>72</v>
      </c>
      <c r="G36" s="23">
        <v>72</v>
      </c>
      <c r="H36" s="149">
        <f t="shared" si="0"/>
        <v>1</v>
      </c>
      <c r="I36" s="62">
        <v>53</v>
      </c>
      <c r="J36" s="161">
        <f t="shared" si="4"/>
        <v>0.7361111111111112</v>
      </c>
      <c r="K36" s="31"/>
      <c r="L36" s="24">
        <v>0</v>
      </c>
      <c r="M36" s="23">
        <v>0</v>
      </c>
      <c r="N36" s="23">
        <v>0</v>
      </c>
      <c r="O36" s="72">
        <v>0</v>
      </c>
      <c r="P36" s="72">
        <v>28</v>
      </c>
      <c r="Q36" s="23">
        <v>0</v>
      </c>
      <c r="R36" s="37">
        <v>0</v>
      </c>
      <c r="S36" s="34"/>
      <c r="T36" s="40">
        <f t="shared" si="5"/>
        <v>28</v>
      </c>
      <c r="U36" s="30">
        <f t="shared" si="6"/>
        <v>0</v>
      </c>
      <c r="V36" s="69">
        <f t="shared" si="7"/>
        <v>0.3888888888888889</v>
      </c>
    </row>
    <row r="37" spans="1:22" s="4" customFormat="1" ht="13.5" thickBot="1">
      <c r="A37" s="101" t="s">
        <v>22</v>
      </c>
      <c r="B37" s="131" t="s">
        <v>114</v>
      </c>
      <c r="C37" s="73" t="s">
        <v>62</v>
      </c>
      <c r="D37" s="73" t="s">
        <v>62</v>
      </c>
      <c r="E37" s="34"/>
      <c r="F37" s="61">
        <v>16</v>
      </c>
      <c r="G37" s="26">
        <v>16</v>
      </c>
      <c r="H37" s="150">
        <v>1</v>
      </c>
      <c r="I37" s="112">
        <v>78</v>
      </c>
      <c r="J37" s="159">
        <f t="shared" si="4"/>
        <v>4.875</v>
      </c>
      <c r="K37" s="34"/>
      <c r="L37" s="61">
        <v>0</v>
      </c>
      <c r="M37" s="26">
        <v>0</v>
      </c>
      <c r="N37" s="26">
        <v>3</v>
      </c>
      <c r="O37" s="75">
        <v>0</v>
      </c>
      <c r="P37" s="75">
        <v>0</v>
      </c>
      <c r="Q37" s="26">
        <v>0</v>
      </c>
      <c r="R37" s="76">
        <v>0</v>
      </c>
      <c r="S37" s="32"/>
      <c r="T37" s="77">
        <f t="shared" si="5"/>
        <v>3</v>
      </c>
      <c r="U37" s="78">
        <f t="shared" si="6"/>
        <v>0.1875</v>
      </c>
      <c r="V37" s="74">
        <f t="shared" si="7"/>
        <v>0.1875</v>
      </c>
    </row>
    <row r="38" spans="1:22" ht="12.75">
      <c r="A38" s="407" t="s">
        <v>23</v>
      </c>
      <c r="B38" s="129" t="s">
        <v>45</v>
      </c>
      <c r="C38" s="79" t="s">
        <v>62</v>
      </c>
      <c r="D38" s="79"/>
      <c r="E38" s="32"/>
      <c r="F38" s="18">
        <v>79</v>
      </c>
      <c r="G38" s="17">
        <v>79</v>
      </c>
      <c r="H38" s="147">
        <f aca="true" t="shared" si="8" ref="H38:H64">IF(G38&lt;&gt;0,F38/G38,0)</f>
        <v>1</v>
      </c>
      <c r="I38" s="93">
        <v>120</v>
      </c>
      <c r="J38" s="158">
        <f t="shared" si="4"/>
        <v>1.518987341772152</v>
      </c>
      <c r="K38" s="32"/>
      <c r="L38" s="18">
        <v>0</v>
      </c>
      <c r="M38" s="17">
        <v>0</v>
      </c>
      <c r="N38" s="17">
        <v>1</v>
      </c>
      <c r="O38" s="70">
        <v>0</v>
      </c>
      <c r="P38" s="70">
        <v>47</v>
      </c>
      <c r="Q38" s="17">
        <v>0</v>
      </c>
      <c r="R38" s="35">
        <v>0</v>
      </c>
      <c r="S38" s="31"/>
      <c r="T38" s="38">
        <v>79</v>
      </c>
      <c r="U38" s="28">
        <f t="shared" si="6"/>
        <v>0.012658227848101266</v>
      </c>
      <c r="V38" s="67">
        <f t="shared" si="7"/>
        <v>1</v>
      </c>
    </row>
    <row r="39" spans="1:22" ht="12.75">
      <c r="A39" s="419"/>
      <c r="B39" s="128" t="s">
        <v>70</v>
      </c>
      <c r="C39" s="44" t="s">
        <v>62</v>
      </c>
      <c r="D39" s="44"/>
      <c r="E39" s="142"/>
      <c r="F39" s="21">
        <v>10</v>
      </c>
      <c r="G39" s="20">
        <v>10</v>
      </c>
      <c r="H39" s="148">
        <f t="shared" si="8"/>
        <v>1</v>
      </c>
      <c r="I39" s="55">
        <v>20</v>
      </c>
      <c r="J39" s="160">
        <f t="shared" si="4"/>
        <v>2</v>
      </c>
      <c r="K39" s="142"/>
      <c r="L39" s="21">
        <v>0</v>
      </c>
      <c r="M39" s="20">
        <v>0</v>
      </c>
      <c r="N39" s="20">
        <v>0</v>
      </c>
      <c r="O39" s="71">
        <v>0</v>
      </c>
      <c r="P39" s="71">
        <v>10</v>
      </c>
      <c r="Q39" s="20">
        <v>0</v>
      </c>
      <c r="R39" s="36">
        <v>0</v>
      </c>
      <c r="S39" s="33"/>
      <c r="T39" s="39">
        <f aca="true" t="shared" si="9" ref="T39:T69">SUM(L39:R39)</f>
        <v>10</v>
      </c>
      <c r="U39" s="29">
        <f t="shared" si="6"/>
        <v>0</v>
      </c>
      <c r="V39" s="68">
        <f t="shared" si="7"/>
        <v>1</v>
      </c>
    </row>
    <row r="40" spans="1:22" ht="13.5" thickBot="1">
      <c r="A40" s="419"/>
      <c r="B40" s="128" t="s">
        <v>45</v>
      </c>
      <c r="C40" s="44"/>
      <c r="D40" s="44" t="s">
        <v>62</v>
      </c>
      <c r="E40" s="52"/>
      <c r="F40" s="21">
        <v>21</v>
      </c>
      <c r="G40" s="20">
        <v>21</v>
      </c>
      <c r="H40" s="148">
        <f t="shared" si="8"/>
        <v>1</v>
      </c>
      <c r="I40" s="55">
        <v>40</v>
      </c>
      <c r="J40" s="160">
        <f t="shared" si="4"/>
        <v>1.9047619047619047</v>
      </c>
      <c r="K40" s="52"/>
      <c r="L40" s="21">
        <v>0</v>
      </c>
      <c r="M40" s="20">
        <v>0</v>
      </c>
      <c r="N40" s="20">
        <v>2</v>
      </c>
      <c r="O40" s="71">
        <v>19</v>
      </c>
      <c r="P40" s="71">
        <v>0</v>
      </c>
      <c r="Q40" s="20">
        <v>0</v>
      </c>
      <c r="R40" s="36">
        <v>0</v>
      </c>
      <c r="S40" s="33"/>
      <c r="T40" s="39">
        <f t="shared" si="9"/>
        <v>21</v>
      </c>
      <c r="U40" s="29">
        <f t="shared" si="6"/>
        <v>0.09523809523809523</v>
      </c>
      <c r="V40" s="68">
        <f t="shared" si="7"/>
        <v>1</v>
      </c>
    </row>
    <row r="41" spans="1:22" ht="13.5" thickBot="1">
      <c r="A41" s="420"/>
      <c r="B41" s="130" t="s">
        <v>70</v>
      </c>
      <c r="C41" s="45"/>
      <c r="D41" s="45" t="s">
        <v>62</v>
      </c>
      <c r="E41" s="31"/>
      <c r="F41" s="24">
        <v>21</v>
      </c>
      <c r="G41" s="23">
        <v>21</v>
      </c>
      <c r="H41" s="149">
        <f t="shared" si="8"/>
        <v>1</v>
      </c>
      <c r="I41" s="62">
        <v>40</v>
      </c>
      <c r="J41" s="161">
        <f t="shared" si="4"/>
        <v>1.9047619047619047</v>
      </c>
      <c r="K41" s="31"/>
      <c r="L41" s="24">
        <v>0</v>
      </c>
      <c r="M41" s="23">
        <v>0</v>
      </c>
      <c r="N41" s="23">
        <v>0</v>
      </c>
      <c r="O41" s="72">
        <v>21</v>
      </c>
      <c r="P41" s="72">
        <v>0</v>
      </c>
      <c r="Q41" s="23">
        <v>0</v>
      </c>
      <c r="R41" s="37">
        <v>0</v>
      </c>
      <c r="S41" s="34"/>
      <c r="T41" s="40">
        <f t="shared" si="9"/>
        <v>21</v>
      </c>
      <c r="U41" s="30">
        <f t="shared" si="6"/>
        <v>0</v>
      </c>
      <c r="V41" s="69">
        <f t="shared" si="7"/>
        <v>1</v>
      </c>
    </row>
    <row r="42" spans="1:24" ht="13.5" thickBot="1">
      <c r="A42" s="408" t="s">
        <v>58</v>
      </c>
      <c r="B42" s="178" t="s">
        <v>120</v>
      </c>
      <c r="C42" s="180"/>
      <c r="D42" s="180" t="s">
        <v>62</v>
      </c>
      <c r="E42" s="34"/>
      <c r="F42" s="206">
        <v>0</v>
      </c>
      <c r="G42" s="207">
        <v>20</v>
      </c>
      <c r="H42" s="208">
        <f t="shared" si="8"/>
        <v>0</v>
      </c>
      <c r="I42" s="209">
        <v>0</v>
      </c>
      <c r="J42" s="210">
        <f t="shared" si="4"/>
        <v>0</v>
      </c>
      <c r="K42" s="34"/>
      <c r="L42" s="206">
        <v>0</v>
      </c>
      <c r="M42" s="207">
        <v>0</v>
      </c>
      <c r="N42" s="207">
        <v>0</v>
      </c>
      <c r="O42" s="207">
        <v>0</v>
      </c>
      <c r="P42" s="207">
        <v>0</v>
      </c>
      <c r="Q42" s="207">
        <v>0</v>
      </c>
      <c r="R42" s="211">
        <v>0</v>
      </c>
      <c r="S42" s="32"/>
      <c r="T42" s="212">
        <f t="shared" si="9"/>
        <v>0</v>
      </c>
      <c r="U42" s="213">
        <f t="shared" si="6"/>
        <v>0</v>
      </c>
      <c r="V42" s="214">
        <f t="shared" si="7"/>
        <v>0</v>
      </c>
      <c r="W42" s="1"/>
      <c r="X42" s="1"/>
    </row>
    <row r="43" spans="1:24" ht="13.5" thickBot="1">
      <c r="A43" s="410"/>
      <c r="B43" s="179" t="s">
        <v>120</v>
      </c>
      <c r="C43" s="181"/>
      <c r="D43" s="181" t="s">
        <v>62</v>
      </c>
      <c r="E43" s="32"/>
      <c r="F43" s="197">
        <v>0</v>
      </c>
      <c r="G43" s="198">
        <v>20</v>
      </c>
      <c r="H43" s="199">
        <f t="shared" si="8"/>
        <v>0</v>
      </c>
      <c r="I43" s="200">
        <v>0</v>
      </c>
      <c r="J43" s="201">
        <f t="shared" si="4"/>
        <v>0</v>
      </c>
      <c r="K43" s="32"/>
      <c r="L43" s="197">
        <v>0</v>
      </c>
      <c r="M43" s="198">
        <v>0</v>
      </c>
      <c r="N43" s="198">
        <v>0</v>
      </c>
      <c r="O43" s="198">
        <v>0</v>
      </c>
      <c r="P43" s="198">
        <v>0</v>
      </c>
      <c r="Q43" s="198">
        <v>0</v>
      </c>
      <c r="R43" s="202">
        <v>0</v>
      </c>
      <c r="S43" s="52"/>
      <c r="T43" s="203">
        <f t="shared" si="9"/>
        <v>0</v>
      </c>
      <c r="U43" s="204">
        <f t="shared" si="6"/>
        <v>0</v>
      </c>
      <c r="V43" s="205">
        <f t="shared" si="7"/>
        <v>0</v>
      </c>
      <c r="W43" s="1"/>
      <c r="X43" s="1"/>
    </row>
    <row r="44" spans="1:22" ht="12.75">
      <c r="A44" s="407" t="s">
        <v>84</v>
      </c>
      <c r="B44" s="129" t="s">
        <v>39</v>
      </c>
      <c r="C44" s="79"/>
      <c r="D44" s="79" t="s">
        <v>62</v>
      </c>
      <c r="E44" s="33"/>
      <c r="F44" s="18">
        <v>10</v>
      </c>
      <c r="G44" s="17">
        <v>10</v>
      </c>
      <c r="H44" s="147">
        <f t="shared" si="8"/>
        <v>1</v>
      </c>
      <c r="I44" s="93">
        <v>30</v>
      </c>
      <c r="J44" s="158">
        <f t="shared" si="4"/>
        <v>3</v>
      </c>
      <c r="K44" s="33"/>
      <c r="L44" s="18">
        <v>1</v>
      </c>
      <c r="M44" s="17">
        <v>0</v>
      </c>
      <c r="N44" s="17">
        <v>0</v>
      </c>
      <c r="O44" s="70">
        <v>2</v>
      </c>
      <c r="P44" s="70">
        <v>0</v>
      </c>
      <c r="Q44" s="17">
        <v>0</v>
      </c>
      <c r="R44" s="35">
        <v>0</v>
      </c>
      <c r="S44" s="31"/>
      <c r="T44" s="38">
        <f t="shared" si="9"/>
        <v>3</v>
      </c>
      <c r="U44" s="28">
        <f t="shared" si="6"/>
        <v>0.1</v>
      </c>
      <c r="V44" s="67">
        <f t="shared" si="7"/>
        <v>0.3</v>
      </c>
    </row>
    <row r="45" spans="1:22" ht="13.5" thickBot="1">
      <c r="A45" s="409"/>
      <c r="B45" s="130" t="s">
        <v>40</v>
      </c>
      <c r="C45" s="45"/>
      <c r="D45" s="45" t="s">
        <v>62</v>
      </c>
      <c r="E45" s="33"/>
      <c r="F45" s="24">
        <v>44</v>
      </c>
      <c r="G45" s="23">
        <v>44</v>
      </c>
      <c r="H45" s="149">
        <f t="shared" si="8"/>
        <v>1</v>
      </c>
      <c r="I45" s="62">
        <v>95</v>
      </c>
      <c r="J45" s="161">
        <f t="shared" si="4"/>
        <v>2.159090909090909</v>
      </c>
      <c r="K45" s="33"/>
      <c r="L45" s="24">
        <v>0</v>
      </c>
      <c r="M45" s="23">
        <v>0</v>
      </c>
      <c r="N45" s="23">
        <v>0</v>
      </c>
      <c r="O45" s="72">
        <v>9</v>
      </c>
      <c r="P45" s="72">
        <v>0</v>
      </c>
      <c r="Q45" s="23">
        <v>0</v>
      </c>
      <c r="R45" s="37">
        <v>0</v>
      </c>
      <c r="S45" s="34"/>
      <c r="T45" s="40">
        <f t="shared" si="9"/>
        <v>9</v>
      </c>
      <c r="U45" s="30">
        <f t="shared" si="6"/>
        <v>0</v>
      </c>
      <c r="V45" s="69">
        <f t="shared" si="7"/>
        <v>0.20454545454545456</v>
      </c>
    </row>
    <row r="46" spans="1:24" ht="12.75">
      <c r="A46" s="408" t="s">
        <v>59</v>
      </c>
      <c r="B46" s="131" t="s">
        <v>101</v>
      </c>
      <c r="C46" s="73"/>
      <c r="D46" s="73" t="s">
        <v>62</v>
      </c>
      <c r="E46" s="33"/>
      <c r="F46" s="61">
        <v>24</v>
      </c>
      <c r="G46" s="26">
        <v>24</v>
      </c>
      <c r="H46" s="150">
        <f t="shared" si="8"/>
        <v>1</v>
      </c>
      <c r="I46" s="112">
        <v>112</v>
      </c>
      <c r="J46" s="159">
        <f t="shared" si="4"/>
        <v>4.666666666666667</v>
      </c>
      <c r="K46" s="33"/>
      <c r="L46" s="61">
        <v>6</v>
      </c>
      <c r="M46" s="26">
        <v>0</v>
      </c>
      <c r="N46" s="26">
        <v>0</v>
      </c>
      <c r="O46" s="75">
        <v>0</v>
      </c>
      <c r="P46" s="75">
        <v>0</v>
      </c>
      <c r="Q46" s="26">
        <v>0</v>
      </c>
      <c r="R46" s="76">
        <v>0</v>
      </c>
      <c r="S46" s="32"/>
      <c r="T46" s="77">
        <f t="shared" si="9"/>
        <v>6</v>
      </c>
      <c r="U46" s="78">
        <f t="shared" si="6"/>
        <v>0.25</v>
      </c>
      <c r="V46" s="74">
        <f t="shared" si="7"/>
        <v>0.25</v>
      </c>
      <c r="W46" s="1"/>
      <c r="X46" s="1"/>
    </row>
    <row r="47" spans="1:24" ht="13.5" thickBot="1">
      <c r="A47" s="410"/>
      <c r="B47" s="133" t="s">
        <v>102</v>
      </c>
      <c r="C47" s="48"/>
      <c r="D47" s="48" t="s">
        <v>62</v>
      </c>
      <c r="E47" s="33"/>
      <c r="F47" s="50">
        <v>30</v>
      </c>
      <c r="G47" s="49">
        <v>30</v>
      </c>
      <c r="H47" s="151">
        <f t="shared" si="8"/>
        <v>1</v>
      </c>
      <c r="I47" s="154">
        <v>83</v>
      </c>
      <c r="J47" s="162">
        <f t="shared" si="4"/>
        <v>2.7666666666666666</v>
      </c>
      <c r="K47" s="33"/>
      <c r="L47" s="50">
        <v>6</v>
      </c>
      <c r="M47" s="49">
        <v>0</v>
      </c>
      <c r="N47" s="49">
        <v>0</v>
      </c>
      <c r="O47" s="91">
        <v>0</v>
      </c>
      <c r="P47" s="91">
        <v>0</v>
      </c>
      <c r="Q47" s="49">
        <v>0</v>
      </c>
      <c r="R47" s="51">
        <v>0</v>
      </c>
      <c r="S47" s="52"/>
      <c r="T47" s="54">
        <f t="shared" si="9"/>
        <v>6</v>
      </c>
      <c r="U47" s="53">
        <f t="shared" si="6"/>
        <v>0.2</v>
      </c>
      <c r="V47" s="90">
        <f t="shared" si="7"/>
        <v>0.2</v>
      </c>
      <c r="W47" s="1"/>
      <c r="X47" s="1"/>
    </row>
    <row r="48" spans="1:22" ht="13.5" thickBot="1">
      <c r="A48" s="407" t="s">
        <v>24</v>
      </c>
      <c r="B48" s="129" t="s">
        <v>47</v>
      </c>
      <c r="C48" s="79" t="s">
        <v>62</v>
      </c>
      <c r="D48" s="79"/>
      <c r="E48" s="52"/>
      <c r="F48" s="18">
        <v>15</v>
      </c>
      <c r="G48" s="17">
        <v>15</v>
      </c>
      <c r="H48" s="147">
        <f t="shared" si="8"/>
        <v>1</v>
      </c>
      <c r="I48" s="93">
        <v>5</v>
      </c>
      <c r="J48" s="158">
        <f t="shared" si="4"/>
        <v>0.3333333333333333</v>
      </c>
      <c r="K48" s="52"/>
      <c r="L48" s="18">
        <v>0</v>
      </c>
      <c r="M48" s="17">
        <v>0</v>
      </c>
      <c r="N48" s="17">
        <v>0</v>
      </c>
      <c r="O48" s="70">
        <v>0</v>
      </c>
      <c r="P48" s="70">
        <v>0</v>
      </c>
      <c r="Q48" s="17">
        <v>0</v>
      </c>
      <c r="R48" s="35">
        <v>15</v>
      </c>
      <c r="S48" s="31"/>
      <c r="T48" s="38">
        <f t="shared" si="9"/>
        <v>15</v>
      </c>
      <c r="U48" s="28">
        <f t="shared" si="6"/>
        <v>1</v>
      </c>
      <c r="V48" s="67">
        <f t="shared" si="7"/>
        <v>1</v>
      </c>
    </row>
    <row r="49" spans="1:22" ht="13.5" thickBot="1">
      <c r="A49" s="409"/>
      <c r="B49" s="130" t="s">
        <v>48</v>
      </c>
      <c r="C49" s="45" t="s">
        <v>62</v>
      </c>
      <c r="D49" s="45"/>
      <c r="E49" s="31"/>
      <c r="F49" s="24">
        <v>17</v>
      </c>
      <c r="G49" s="23">
        <v>17</v>
      </c>
      <c r="H49" s="149">
        <f t="shared" si="8"/>
        <v>1</v>
      </c>
      <c r="I49" s="62">
        <v>14</v>
      </c>
      <c r="J49" s="161">
        <f t="shared" si="4"/>
        <v>0.8235294117647058</v>
      </c>
      <c r="K49" s="31"/>
      <c r="L49" s="24">
        <v>0</v>
      </c>
      <c r="M49" s="23">
        <v>0</v>
      </c>
      <c r="N49" s="23">
        <v>0</v>
      </c>
      <c r="O49" s="72">
        <v>0</v>
      </c>
      <c r="P49" s="72">
        <v>0</v>
      </c>
      <c r="Q49" s="23">
        <v>0</v>
      </c>
      <c r="R49" s="37">
        <v>17</v>
      </c>
      <c r="S49" s="34"/>
      <c r="T49" s="40">
        <f t="shared" si="9"/>
        <v>17</v>
      </c>
      <c r="U49" s="30">
        <f t="shared" si="6"/>
        <v>1</v>
      </c>
      <c r="V49" s="69">
        <f t="shared" si="7"/>
        <v>1</v>
      </c>
    </row>
    <row r="50" spans="1:22" ht="13.5" thickBot="1">
      <c r="A50" s="408" t="s">
        <v>37</v>
      </c>
      <c r="B50" s="131" t="s">
        <v>77</v>
      </c>
      <c r="C50" s="73"/>
      <c r="D50" s="73" t="s">
        <v>62</v>
      </c>
      <c r="E50" s="34"/>
      <c r="F50" s="61">
        <v>28</v>
      </c>
      <c r="G50" s="26">
        <v>28</v>
      </c>
      <c r="H50" s="150">
        <f t="shared" si="8"/>
        <v>1</v>
      </c>
      <c r="I50" s="112">
        <v>39</v>
      </c>
      <c r="J50" s="159">
        <f t="shared" si="4"/>
        <v>1.3928571428571428</v>
      </c>
      <c r="K50" s="34"/>
      <c r="L50" s="61">
        <v>0</v>
      </c>
      <c r="M50" s="26">
        <v>0</v>
      </c>
      <c r="N50" s="26">
        <v>4</v>
      </c>
      <c r="O50" s="75">
        <v>24</v>
      </c>
      <c r="P50" s="75">
        <v>0</v>
      </c>
      <c r="Q50" s="26">
        <v>0</v>
      </c>
      <c r="R50" s="76">
        <v>0</v>
      </c>
      <c r="S50" s="32"/>
      <c r="T50" s="77">
        <f t="shared" si="9"/>
        <v>28</v>
      </c>
      <c r="U50" s="78">
        <f t="shared" si="6"/>
        <v>0.14285714285714285</v>
      </c>
      <c r="V50" s="74">
        <f t="shared" si="7"/>
        <v>1</v>
      </c>
    </row>
    <row r="51" spans="1:22" ht="13.5" thickBot="1">
      <c r="A51" s="410"/>
      <c r="B51" s="133" t="s">
        <v>38</v>
      </c>
      <c r="C51" s="48"/>
      <c r="D51" s="48" t="s">
        <v>62</v>
      </c>
      <c r="E51" s="32"/>
      <c r="F51" s="50">
        <v>4</v>
      </c>
      <c r="G51" s="49">
        <v>4</v>
      </c>
      <c r="H51" s="151">
        <f t="shared" si="8"/>
        <v>1</v>
      </c>
      <c r="I51" s="154">
        <v>15</v>
      </c>
      <c r="J51" s="162">
        <f t="shared" si="4"/>
        <v>3.75</v>
      </c>
      <c r="K51" s="32"/>
      <c r="L51" s="50">
        <v>0</v>
      </c>
      <c r="M51" s="49">
        <v>0</v>
      </c>
      <c r="N51" s="49">
        <v>0</v>
      </c>
      <c r="O51" s="91">
        <v>0</v>
      </c>
      <c r="P51" s="91">
        <v>0</v>
      </c>
      <c r="Q51" s="49">
        <v>0</v>
      </c>
      <c r="R51" s="51">
        <v>0</v>
      </c>
      <c r="S51" s="52"/>
      <c r="T51" s="54">
        <f t="shared" si="9"/>
        <v>0</v>
      </c>
      <c r="U51" s="53">
        <f t="shared" si="6"/>
        <v>0</v>
      </c>
      <c r="V51" s="90">
        <f t="shared" si="7"/>
        <v>0</v>
      </c>
    </row>
    <row r="52" spans="1:24" ht="13.5" thickBot="1">
      <c r="A52" s="407" t="s">
        <v>25</v>
      </c>
      <c r="B52" s="184" t="s">
        <v>120</v>
      </c>
      <c r="C52" s="185" t="s">
        <v>62</v>
      </c>
      <c r="D52" s="185"/>
      <c r="E52" s="52"/>
      <c r="F52" s="215">
        <v>0</v>
      </c>
      <c r="G52" s="216">
        <v>40</v>
      </c>
      <c r="H52" s="217">
        <f t="shared" si="8"/>
        <v>0</v>
      </c>
      <c r="I52" s="218">
        <v>0</v>
      </c>
      <c r="J52" s="219">
        <f t="shared" si="4"/>
        <v>0</v>
      </c>
      <c r="K52" s="52"/>
      <c r="L52" s="215">
        <v>0</v>
      </c>
      <c r="M52" s="216">
        <v>0</v>
      </c>
      <c r="N52" s="216">
        <v>0</v>
      </c>
      <c r="O52" s="216">
        <v>0</v>
      </c>
      <c r="P52" s="216">
        <v>0</v>
      </c>
      <c r="Q52" s="216">
        <v>0</v>
      </c>
      <c r="R52" s="220">
        <v>0</v>
      </c>
      <c r="S52" s="31"/>
      <c r="T52" s="221">
        <f t="shared" si="9"/>
        <v>0</v>
      </c>
      <c r="U52" s="222">
        <f t="shared" si="6"/>
        <v>0</v>
      </c>
      <c r="V52" s="223">
        <f t="shared" si="7"/>
        <v>0</v>
      </c>
      <c r="W52" s="1"/>
      <c r="X52" s="1"/>
    </row>
    <row r="53" spans="1:24" ht="13.5" thickBot="1">
      <c r="A53" s="409"/>
      <c r="B53" s="186" t="s">
        <v>120</v>
      </c>
      <c r="C53" s="187" t="s">
        <v>62</v>
      </c>
      <c r="D53" s="187"/>
      <c r="E53" s="92"/>
      <c r="F53" s="224">
        <v>0</v>
      </c>
      <c r="G53" s="225">
        <v>40</v>
      </c>
      <c r="H53" s="226">
        <f t="shared" si="8"/>
        <v>0</v>
      </c>
      <c r="I53" s="227">
        <v>0</v>
      </c>
      <c r="J53" s="228">
        <f t="shared" si="4"/>
        <v>0</v>
      </c>
      <c r="K53" s="92"/>
      <c r="L53" s="224">
        <v>0</v>
      </c>
      <c r="M53" s="225">
        <v>0</v>
      </c>
      <c r="N53" s="225">
        <v>0</v>
      </c>
      <c r="O53" s="225">
        <v>0</v>
      </c>
      <c r="P53" s="225">
        <v>0</v>
      </c>
      <c r="Q53" s="225">
        <v>0</v>
      </c>
      <c r="R53" s="229">
        <v>0</v>
      </c>
      <c r="S53" s="34"/>
      <c r="T53" s="230">
        <f>SUM(L53:R53)</f>
        <v>0</v>
      </c>
      <c r="U53" s="231">
        <f t="shared" si="6"/>
        <v>0</v>
      </c>
      <c r="V53" s="232">
        <f t="shared" si="7"/>
        <v>0</v>
      </c>
      <c r="W53" s="1"/>
      <c r="X53" s="1"/>
    </row>
    <row r="54" spans="1:24" ht="12.75">
      <c r="A54" s="408" t="s">
        <v>26</v>
      </c>
      <c r="B54" s="131" t="s">
        <v>49</v>
      </c>
      <c r="C54" s="73" t="s">
        <v>62</v>
      </c>
      <c r="D54" s="73" t="s">
        <v>62</v>
      </c>
      <c r="E54" s="32"/>
      <c r="F54" s="61">
        <v>89</v>
      </c>
      <c r="G54" s="26">
        <v>89</v>
      </c>
      <c r="H54" s="150">
        <f t="shared" si="8"/>
        <v>1</v>
      </c>
      <c r="I54" s="112">
        <v>129</v>
      </c>
      <c r="J54" s="159">
        <f t="shared" si="4"/>
        <v>1.449438202247191</v>
      </c>
      <c r="K54" s="32"/>
      <c r="L54" s="61">
        <v>0</v>
      </c>
      <c r="M54" s="26">
        <v>0</v>
      </c>
      <c r="N54" s="26">
        <v>2</v>
      </c>
      <c r="O54" s="75">
        <v>0</v>
      </c>
      <c r="P54" s="75">
        <v>0</v>
      </c>
      <c r="Q54" s="26">
        <v>0</v>
      </c>
      <c r="R54" s="76">
        <v>0</v>
      </c>
      <c r="S54" s="32"/>
      <c r="T54" s="77">
        <f t="shared" si="9"/>
        <v>2</v>
      </c>
      <c r="U54" s="78">
        <f t="shared" si="6"/>
        <v>0.02247191011235955</v>
      </c>
      <c r="V54" s="74">
        <f t="shared" si="7"/>
        <v>0.02247191011235955</v>
      </c>
      <c r="W54" s="1"/>
      <c r="X54" s="1"/>
    </row>
    <row r="55" spans="1:24" ht="12.75">
      <c r="A55" s="408"/>
      <c r="B55" s="137" t="s">
        <v>112</v>
      </c>
      <c r="C55" s="138" t="s">
        <v>62</v>
      </c>
      <c r="D55" s="138"/>
      <c r="E55" s="142"/>
      <c r="F55" s="139">
        <v>49</v>
      </c>
      <c r="G55" s="140">
        <v>49</v>
      </c>
      <c r="H55" s="153">
        <f t="shared" si="8"/>
        <v>1</v>
      </c>
      <c r="I55" s="156">
        <v>29</v>
      </c>
      <c r="J55" s="167">
        <f t="shared" si="4"/>
        <v>0.5918367346938775</v>
      </c>
      <c r="K55" s="142"/>
      <c r="L55" s="139">
        <v>0</v>
      </c>
      <c r="M55" s="140">
        <v>0</v>
      </c>
      <c r="N55" s="140">
        <v>0</v>
      </c>
      <c r="O55" s="143">
        <v>0</v>
      </c>
      <c r="P55" s="143">
        <v>0</v>
      </c>
      <c r="Q55" s="140">
        <v>0</v>
      </c>
      <c r="R55" s="144">
        <v>0</v>
      </c>
      <c r="S55" s="142"/>
      <c r="T55" s="145">
        <f>SUM(L55:R55)</f>
        <v>0</v>
      </c>
      <c r="U55" s="146">
        <f t="shared" si="6"/>
        <v>0</v>
      </c>
      <c r="V55" s="141">
        <f t="shared" si="7"/>
        <v>0</v>
      </c>
      <c r="W55" s="1"/>
      <c r="X55" s="1"/>
    </row>
    <row r="56" spans="1:24" ht="13.5" thickBot="1">
      <c r="A56" s="410"/>
      <c r="B56" s="133" t="s">
        <v>112</v>
      </c>
      <c r="C56" s="48"/>
      <c r="D56" s="48" t="s">
        <v>62</v>
      </c>
      <c r="E56" s="52"/>
      <c r="F56" s="50">
        <v>6</v>
      </c>
      <c r="G56" s="49">
        <v>6</v>
      </c>
      <c r="H56" s="151">
        <f t="shared" si="8"/>
        <v>1</v>
      </c>
      <c r="I56" s="154">
        <v>17</v>
      </c>
      <c r="J56" s="162">
        <f t="shared" si="4"/>
        <v>2.8333333333333335</v>
      </c>
      <c r="K56" s="52"/>
      <c r="L56" s="50">
        <v>0</v>
      </c>
      <c r="M56" s="49">
        <v>0</v>
      </c>
      <c r="N56" s="49">
        <v>3</v>
      </c>
      <c r="O56" s="91">
        <v>0</v>
      </c>
      <c r="P56" s="91">
        <v>0</v>
      </c>
      <c r="Q56" s="49">
        <v>0</v>
      </c>
      <c r="R56" s="51">
        <v>0</v>
      </c>
      <c r="S56" s="52"/>
      <c r="T56" s="54">
        <f t="shared" si="9"/>
        <v>3</v>
      </c>
      <c r="U56" s="53">
        <f t="shared" si="6"/>
        <v>0.5</v>
      </c>
      <c r="V56" s="90">
        <f t="shared" si="7"/>
        <v>0.5</v>
      </c>
      <c r="W56" s="1"/>
      <c r="X56" s="1"/>
    </row>
    <row r="57" spans="1:24" ht="12.75">
      <c r="A57" s="407" t="s">
        <v>60</v>
      </c>
      <c r="B57" s="129" t="s">
        <v>89</v>
      </c>
      <c r="C57" s="79"/>
      <c r="D57" s="79" t="s">
        <v>62</v>
      </c>
      <c r="E57" s="31"/>
      <c r="F57" s="18">
        <v>15</v>
      </c>
      <c r="G57" s="17">
        <v>15</v>
      </c>
      <c r="H57" s="147">
        <f t="shared" si="8"/>
        <v>1</v>
      </c>
      <c r="I57" s="93">
        <v>11</v>
      </c>
      <c r="J57" s="158">
        <f t="shared" si="4"/>
        <v>0.7333333333333333</v>
      </c>
      <c r="K57" s="31"/>
      <c r="L57" s="18">
        <v>0</v>
      </c>
      <c r="M57" s="17">
        <v>0</v>
      </c>
      <c r="N57" s="17">
        <v>0</v>
      </c>
      <c r="O57" s="70">
        <v>0</v>
      </c>
      <c r="P57" s="70">
        <v>0</v>
      </c>
      <c r="Q57" s="17">
        <v>0</v>
      </c>
      <c r="R57" s="35">
        <v>0</v>
      </c>
      <c r="S57" s="31"/>
      <c r="T57" s="38">
        <f aca="true" t="shared" si="10" ref="T57:T65">SUM(L57:R57)</f>
        <v>0</v>
      </c>
      <c r="U57" s="28">
        <f t="shared" si="6"/>
        <v>0</v>
      </c>
      <c r="V57" s="67">
        <f t="shared" si="7"/>
        <v>0</v>
      </c>
      <c r="W57" s="1"/>
      <c r="X57" s="1"/>
    </row>
    <row r="58" spans="1:24" ht="13.5" thickBot="1">
      <c r="A58" s="412"/>
      <c r="B58" s="130" t="s">
        <v>90</v>
      </c>
      <c r="C58" s="45"/>
      <c r="D58" s="45" t="s">
        <v>62</v>
      </c>
      <c r="E58" s="34"/>
      <c r="F58" s="24">
        <v>21</v>
      </c>
      <c r="G58" s="23">
        <v>21</v>
      </c>
      <c r="H58" s="149">
        <f t="shared" si="8"/>
        <v>1</v>
      </c>
      <c r="I58" s="62">
        <v>6</v>
      </c>
      <c r="J58" s="161">
        <f t="shared" si="4"/>
        <v>0.2857142857142857</v>
      </c>
      <c r="K58" s="34"/>
      <c r="L58" s="24">
        <v>0</v>
      </c>
      <c r="M58" s="23">
        <v>0</v>
      </c>
      <c r="N58" s="23">
        <v>0</v>
      </c>
      <c r="O58" s="72">
        <v>0</v>
      </c>
      <c r="P58" s="72">
        <v>0</v>
      </c>
      <c r="Q58" s="23">
        <v>0</v>
      </c>
      <c r="R58" s="37">
        <v>0</v>
      </c>
      <c r="S58" s="34"/>
      <c r="T58" s="40">
        <f t="shared" si="10"/>
        <v>0</v>
      </c>
      <c r="U58" s="30">
        <f t="shared" si="6"/>
        <v>0</v>
      </c>
      <c r="V58" s="69">
        <f t="shared" si="7"/>
        <v>0</v>
      </c>
      <c r="W58" s="1"/>
      <c r="X58" s="1"/>
    </row>
    <row r="59" spans="1:24" ht="12.75">
      <c r="A59" s="408" t="s">
        <v>61</v>
      </c>
      <c r="B59" s="131" t="s">
        <v>63</v>
      </c>
      <c r="C59" s="73"/>
      <c r="D59" s="73" t="s">
        <v>62</v>
      </c>
      <c r="E59" s="32"/>
      <c r="F59" s="61">
        <v>18</v>
      </c>
      <c r="G59" s="26">
        <v>18</v>
      </c>
      <c r="H59" s="150">
        <f t="shared" si="8"/>
        <v>1</v>
      </c>
      <c r="I59" s="112">
        <v>10</v>
      </c>
      <c r="J59" s="159">
        <f t="shared" si="4"/>
        <v>0.5555555555555556</v>
      </c>
      <c r="K59" s="32"/>
      <c r="L59" s="61">
        <v>0</v>
      </c>
      <c r="M59" s="26">
        <v>0</v>
      </c>
      <c r="N59" s="26">
        <v>6</v>
      </c>
      <c r="O59" s="75">
        <v>0</v>
      </c>
      <c r="P59" s="75">
        <v>0</v>
      </c>
      <c r="Q59" s="26">
        <v>0</v>
      </c>
      <c r="R59" s="76">
        <v>0</v>
      </c>
      <c r="S59" s="32"/>
      <c r="T59" s="77">
        <f t="shared" si="10"/>
        <v>6</v>
      </c>
      <c r="U59" s="78">
        <f t="shared" si="6"/>
        <v>0.3333333333333333</v>
      </c>
      <c r="V59" s="74">
        <f t="shared" si="7"/>
        <v>0.3333333333333333</v>
      </c>
      <c r="W59" s="1"/>
      <c r="X59" s="1"/>
    </row>
    <row r="60" spans="1:24" ht="12.75">
      <c r="A60" s="408"/>
      <c r="B60" s="128" t="s">
        <v>64</v>
      </c>
      <c r="C60" s="44"/>
      <c r="D60" s="44" t="s">
        <v>62</v>
      </c>
      <c r="E60" s="33"/>
      <c r="F60" s="21">
        <v>7</v>
      </c>
      <c r="G60" s="20">
        <v>7</v>
      </c>
      <c r="H60" s="148">
        <f t="shared" si="8"/>
        <v>1</v>
      </c>
      <c r="I60" s="55">
        <v>15</v>
      </c>
      <c r="J60" s="160">
        <f t="shared" si="4"/>
        <v>2.142857142857143</v>
      </c>
      <c r="K60" s="33"/>
      <c r="L60" s="21">
        <v>0</v>
      </c>
      <c r="M60" s="20">
        <v>2</v>
      </c>
      <c r="N60" s="20">
        <v>2</v>
      </c>
      <c r="O60" s="71">
        <v>0</v>
      </c>
      <c r="P60" s="71">
        <v>0</v>
      </c>
      <c r="Q60" s="20">
        <v>0</v>
      </c>
      <c r="R60" s="36">
        <v>0</v>
      </c>
      <c r="S60" s="33"/>
      <c r="T60" s="39">
        <f t="shared" si="10"/>
        <v>4</v>
      </c>
      <c r="U60" s="29">
        <f t="shared" si="6"/>
        <v>0.5714285714285714</v>
      </c>
      <c r="V60" s="68">
        <f t="shared" si="7"/>
        <v>0.5714285714285714</v>
      </c>
      <c r="W60" s="1"/>
      <c r="X60" s="1"/>
    </row>
    <row r="61" spans="1:24" ht="12.75">
      <c r="A61" s="408"/>
      <c r="B61" s="128" t="s">
        <v>65</v>
      </c>
      <c r="C61" s="44"/>
      <c r="D61" s="44" t="s">
        <v>62</v>
      </c>
      <c r="E61" s="33"/>
      <c r="F61" s="21">
        <v>64</v>
      </c>
      <c r="G61" s="20">
        <v>64</v>
      </c>
      <c r="H61" s="148">
        <f t="shared" si="8"/>
        <v>1</v>
      </c>
      <c r="I61" s="55">
        <v>58</v>
      </c>
      <c r="J61" s="160">
        <f t="shared" si="4"/>
        <v>0.90625</v>
      </c>
      <c r="K61" s="33"/>
      <c r="L61" s="21">
        <v>0</v>
      </c>
      <c r="M61" s="20">
        <v>0</v>
      </c>
      <c r="N61" s="20">
        <v>5</v>
      </c>
      <c r="O61" s="71">
        <v>0</v>
      </c>
      <c r="P61" s="71">
        <v>0</v>
      </c>
      <c r="Q61" s="20">
        <v>0</v>
      </c>
      <c r="R61" s="36">
        <v>0</v>
      </c>
      <c r="S61" s="33"/>
      <c r="T61" s="39">
        <f t="shared" si="10"/>
        <v>5</v>
      </c>
      <c r="U61" s="29">
        <f t="shared" si="6"/>
        <v>0.078125</v>
      </c>
      <c r="V61" s="68">
        <f t="shared" si="7"/>
        <v>0.078125</v>
      </c>
      <c r="W61" s="1"/>
      <c r="X61" s="1"/>
    </row>
    <row r="62" spans="1:24" ht="12.75">
      <c r="A62" s="408"/>
      <c r="B62" s="128" t="s">
        <v>66</v>
      </c>
      <c r="C62" s="44"/>
      <c r="D62" s="44" t="s">
        <v>62</v>
      </c>
      <c r="E62" s="33"/>
      <c r="F62" s="21">
        <v>20</v>
      </c>
      <c r="G62" s="20">
        <v>20</v>
      </c>
      <c r="H62" s="148">
        <f t="shared" si="8"/>
        <v>1</v>
      </c>
      <c r="I62" s="55">
        <v>25</v>
      </c>
      <c r="J62" s="160">
        <f t="shared" si="4"/>
        <v>1.25</v>
      </c>
      <c r="K62" s="33"/>
      <c r="L62" s="21">
        <v>0</v>
      </c>
      <c r="M62" s="20">
        <v>0</v>
      </c>
      <c r="N62" s="20">
        <v>4</v>
      </c>
      <c r="O62" s="71">
        <v>0</v>
      </c>
      <c r="P62" s="71">
        <v>0</v>
      </c>
      <c r="Q62" s="20">
        <v>0</v>
      </c>
      <c r="R62" s="36">
        <v>0</v>
      </c>
      <c r="S62" s="33"/>
      <c r="T62" s="39">
        <f t="shared" si="10"/>
        <v>4</v>
      </c>
      <c r="U62" s="29">
        <f t="shared" si="6"/>
        <v>0.2</v>
      </c>
      <c r="V62" s="68">
        <f t="shared" si="7"/>
        <v>0.2</v>
      </c>
      <c r="W62" s="1"/>
      <c r="X62" s="1"/>
    </row>
    <row r="63" spans="1:24" ht="12.75">
      <c r="A63" s="408"/>
      <c r="B63" s="128" t="s">
        <v>67</v>
      </c>
      <c r="C63" s="44"/>
      <c r="D63" s="44" t="s">
        <v>62</v>
      </c>
      <c r="E63" s="33"/>
      <c r="F63" s="21">
        <v>7</v>
      </c>
      <c r="G63" s="20">
        <v>7</v>
      </c>
      <c r="H63" s="148">
        <f t="shared" si="8"/>
        <v>1</v>
      </c>
      <c r="I63" s="55">
        <v>6</v>
      </c>
      <c r="J63" s="160">
        <f t="shared" si="4"/>
        <v>0.8571428571428571</v>
      </c>
      <c r="K63" s="33"/>
      <c r="L63" s="21">
        <v>0</v>
      </c>
      <c r="M63" s="20">
        <v>0</v>
      </c>
      <c r="N63" s="20">
        <v>2</v>
      </c>
      <c r="O63" s="71">
        <v>0</v>
      </c>
      <c r="P63" s="71">
        <v>0</v>
      </c>
      <c r="Q63" s="20">
        <v>0</v>
      </c>
      <c r="R63" s="36">
        <v>0</v>
      </c>
      <c r="S63" s="33"/>
      <c r="T63" s="39">
        <f t="shared" si="10"/>
        <v>2</v>
      </c>
      <c r="U63" s="29">
        <f t="shared" si="6"/>
        <v>0.2857142857142857</v>
      </c>
      <c r="V63" s="68">
        <f t="shared" si="7"/>
        <v>0.2857142857142857</v>
      </c>
      <c r="W63" s="1"/>
      <c r="X63" s="1"/>
    </row>
    <row r="64" spans="1:24" ht="13.5" thickBot="1">
      <c r="A64" s="408"/>
      <c r="B64" s="133" t="s">
        <v>48</v>
      </c>
      <c r="C64" s="48"/>
      <c r="D64" s="48" t="s">
        <v>62</v>
      </c>
      <c r="E64" s="52"/>
      <c r="F64" s="50">
        <v>37</v>
      </c>
      <c r="G64" s="49">
        <v>37</v>
      </c>
      <c r="H64" s="151">
        <f t="shared" si="8"/>
        <v>1</v>
      </c>
      <c r="I64" s="154">
        <v>40</v>
      </c>
      <c r="J64" s="162">
        <f t="shared" si="4"/>
        <v>1.0810810810810811</v>
      </c>
      <c r="K64" s="52"/>
      <c r="L64" s="50">
        <v>0</v>
      </c>
      <c r="M64" s="49">
        <v>0</v>
      </c>
      <c r="N64" s="49">
        <v>0</v>
      </c>
      <c r="O64" s="91">
        <v>0</v>
      </c>
      <c r="P64" s="91">
        <v>0</v>
      </c>
      <c r="Q64" s="49">
        <v>0</v>
      </c>
      <c r="R64" s="51">
        <v>0</v>
      </c>
      <c r="S64" s="52"/>
      <c r="T64" s="54">
        <f t="shared" si="10"/>
        <v>0</v>
      </c>
      <c r="U64" s="53">
        <f t="shared" si="6"/>
        <v>0</v>
      </c>
      <c r="V64" s="90">
        <f t="shared" si="7"/>
        <v>0</v>
      </c>
      <c r="W64" s="1"/>
      <c r="X64" s="1"/>
    </row>
    <row r="65" spans="1:22" ht="12.75">
      <c r="A65" s="407" t="s">
        <v>68</v>
      </c>
      <c r="B65" s="129" t="s">
        <v>97</v>
      </c>
      <c r="C65" s="79" t="s">
        <v>62</v>
      </c>
      <c r="D65" s="79"/>
      <c r="E65" s="31"/>
      <c r="F65" s="18">
        <v>20</v>
      </c>
      <c r="G65" s="17">
        <v>20</v>
      </c>
      <c r="H65" s="147">
        <v>1</v>
      </c>
      <c r="I65" s="93">
        <v>30</v>
      </c>
      <c r="J65" s="158">
        <f t="shared" si="4"/>
        <v>1.5</v>
      </c>
      <c r="K65" s="31"/>
      <c r="L65" s="18">
        <v>0</v>
      </c>
      <c r="M65" s="17">
        <v>0</v>
      </c>
      <c r="N65" s="17">
        <v>1</v>
      </c>
      <c r="O65" s="70">
        <v>0</v>
      </c>
      <c r="P65" s="70">
        <v>4</v>
      </c>
      <c r="Q65" s="17">
        <v>0</v>
      </c>
      <c r="R65" s="35">
        <v>0</v>
      </c>
      <c r="S65" s="31"/>
      <c r="T65" s="38">
        <f t="shared" si="10"/>
        <v>5</v>
      </c>
      <c r="U65" s="28">
        <f t="shared" si="6"/>
        <v>0.05</v>
      </c>
      <c r="V65" s="67">
        <f t="shared" si="7"/>
        <v>0.25</v>
      </c>
    </row>
    <row r="66" spans="1:22" ht="13.5" thickBot="1">
      <c r="A66" s="412"/>
      <c r="B66" s="130" t="s">
        <v>95</v>
      </c>
      <c r="C66" s="45" t="s">
        <v>62</v>
      </c>
      <c r="D66" s="45"/>
      <c r="E66" s="34"/>
      <c r="F66" s="24">
        <v>0</v>
      </c>
      <c r="G66" s="23">
        <v>0</v>
      </c>
      <c r="H66" s="149">
        <v>1</v>
      </c>
      <c r="I66" s="62">
        <v>0</v>
      </c>
      <c r="J66" s="161">
        <f t="shared" si="4"/>
        <v>0</v>
      </c>
      <c r="K66" s="34"/>
      <c r="L66" s="24">
        <v>0</v>
      </c>
      <c r="M66" s="23">
        <v>0</v>
      </c>
      <c r="N66" s="23">
        <v>0</v>
      </c>
      <c r="O66" s="72">
        <v>0</v>
      </c>
      <c r="P66" s="72">
        <v>0</v>
      </c>
      <c r="Q66" s="23">
        <v>0</v>
      </c>
      <c r="R66" s="37">
        <v>0</v>
      </c>
      <c r="S66" s="34"/>
      <c r="T66" s="40">
        <f>SUM(L66:R66)</f>
        <v>0</v>
      </c>
      <c r="U66" s="30">
        <f aca="true" t="shared" si="11" ref="U66:U72">IF(F66&lt;&gt;0,(L66+M66+N66+Q66+R66)/F66,0)</f>
        <v>0</v>
      </c>
      <c r="V66" s="69">
        <f aca="true" t="shared" si="12" ref="V66:V72">IF(F66&lt;&gt;0,(T66)/F66,0)</f>
        <v>0</v>
      </c>
    </row>
    <row r="67" spans="1:22" ht="12.75">
      <c r="A67" s="408" t="s">
        <v>91</v>
      </c>
      <c r="B67" s="178" t="s">
        <v>120</v>
      </c>
      <c r="C67" s="180" t="s">
        <v>62</v>
      </c>
      <c r="D67" s="180"/>
      <c r="E67" s="32"/>
      <c r="F67" s="206">
        <v>0</v>
      </c>
      <c r="G67" s="207">
        <v>40</v>
      </c>
      <c r="H67" s="208">
        <f aca="true" t="shared" si="13" ref="H67:H72">IF(G67&lt;&gt;0,F67/G67,0)</f>
        <v>0</v>
      </c>
      <c r="I67" s="209">
        <v>0</v>
      </c>
      <c r="J67" s="210">
        <f aca="true" t="shared" si="14" ref="J67:J72">IF(G67&lt;&gt;0,I67/G67,0)</f>
        <v>0</v>
      </c>
      <c r="K67" s="32"/>
      <c r="L67" s="206">
        <v>0</v>
      </c>
      <c r="M67" s="207">
        <v>0</v>
      </c>
      <c r="N67" s="207">
        <v>0</v>
      </c>
      <c r="O67" s="207">
        <v>0</v>
      </c>
      <c r="P67" s="207">
        <v>0</v>
      </c>
      <c r="Q67" s="207">
        <v>0</v>
      </c>
      <c r="R67" s="211">
        <v>0</v>
      </c>
      <c r="S67" s="32"/>
      <c r="T67" s="212">
        <f t="shared" si="9"/>
        <v>0</v>
      </c>
      <c r="U67" s="213">
        <f t="shared" si="11"/>
        <v>0</v>
      </c>
      <c r="V67" s="214">
        <f t="shared" si="12"/>
        <v>0</v>
      </c>
    </row>
    <row r="68" spans="1:22" ht="13.5" thickBot="1">
      <c r="A68" s="411"/>
      <c r="B68" s="179" t="s">
        <v>120</v>
      </c>
      <c r="C68" s="181" t="s">
        <v>62</v>
      </c>
      <c r="D68" s="181"/>
      <c r="E68" s="52"/>
      <c r="F68" s="197">
        <v>0</v>
      </c>
      <c r="G68" s="198">
        <v>40</v>
      </c>
      <c r="H68" s="199">
        <f t="shared" si="13"/>
        <v>0</v>
      </c>
      <c r="I68" s="200">
        <v>0</v>
      </c>
      <c r="J68" s="201">
        <f t="shared" si="14"/>
        <v>0</v>
      </c>
      <c r="K68" s="52"/>
      <c r="L68" s="197">
        <v>0</v>
      </c>
      <c r="M68" s="198">
        <v>0</v>
      </c>
      <c r="N68" s="198">
        <v>0</v>
      </c>
      <c r="O68" s="198">
        <v>0</v>
      </c>
      <c r="P68" s="198">
        <v>0</v>
      </c>
      <c r="Q68" s="198">
        <v>0</v>
      </c>
      <c r="R68" s="202">
        <v>0</v>
      </c>
      <c r="S68" s="52"/>
      <c r="T68" s="203">
        <f>SUM(L68:R68)</f>
        <v>0</v>
      </c>
      <c r="U68" s="204">
        <f t="shared" si="11"/>
        <v>0</v>
      </c>
      <c r="V68" s="205">
        <f t="shared" si="12"/>
        <v>0</v>
      </c>
    </row>
    <row r="69" spans="1:22" ht="12.75">
      <c r="A69" s="407" t="s">
        <v>27</v>
      </c>
      <c r="B69" s="129" t="s">
        <v>41</v>
      </c>
      <c r="C69" s="79" t="s">
        <v>62</v>
      </c>
      <c r="D69" s="79"/>
      <c r="E69" s="92"/>
      <c r="F69" s="18">
        <v>21</v>
      </c>
      <c r="G69" s="17">
        <v>21</v>
      </c>
      <c r="H69" s="147">
        <f t="shared" si="13"/>
        <v>1</v>
      </c>
      <c r="I69" s="93">
        <v>7</v>
      </c>
      <c r="J69" s="158">
        <f t="shared" si="14"/>
        <v>0.3333333333333333</v>
      </c>
      <c r="K69" s="92"/>
      <c r="L69" s="17">
        <v>0</v>
      </c>
      <c r="M69" s="17">
        <v>0</v>
      </c>
      <c r="N69" s="17">
        <v>0</v>
      </c>
      <c r="O69" s="70">
        <v>0</v>
      </c>
      <c r="P69" s="70">
        <v>0</v>
      </c>
      <c r="Q69" s="17">
        <v>0</v>
      </c>
      <c r="R69" s="17">
        <v>0</v>
      </c>
      <c r="S69" s="92"/>
      <c r="T69" s="93">
        <f t="shared" si="9"/>
        <v>0</v>
      </c>
      <c r="U69" s="28">
        <f t="shared" si="11"/>
        <v>0</v>
      </c>
      <c r="V69" s="67">
        <f t="shared" si="12"/>
        <v>0</v>
      </c>
    </row>
    <row r="70" spans="1:22" ht="13.5" thickBot="1">
      <c r="A70" s="408"/>
      <c r="B70" s="128" t="s">
        <v>42</v>
      </c>
      <c r="C70" s="44" t="s">
        <v>62</v>
      </c>
      <c r="D70" s="44"/>
      <c r="E70" s="59"/>
      <c r="F70" s="21">
        <v>102</v>
      </c>
      <c r="G70" s="20">
        <v>102</v>
      </c>
      <c r="H70" s="148">
        <f t="shared" si="13"/>
        <v>1</v>
      </c>
      <c r="I70" s="55">
        <v>47</v>
      </c>
      <c r="J70" s="160">
        <f t="shared" si="14"/>
        <v>0.46078431372549017</v>
      </c>
      <c r="K70" s="65"/>
      <c r="L70" s="20">
        <v>1</v>
      </c>
      <c r="M70" s="20">
        <v>0</v>
      </c>
      <c r="N70" s="20">
        <v>0</v>
      </c>
      <c r="O70" s="71">
        <v>0</v>
      </c>
      <c r="P70" s="71">
        <v>0</v>
      </c>
      <c r="Q70" s="20">
        <v>0</v>
      </c>
      <c r="R70" s="20">
        <v>0</v>
      </c>
      <c r="S70" s="19"/>
      <c r="T70" s="55">
        <f>SUM(L70:R70)</f>
        <v>1</v>
      </c>
      <c r="U70" s="29">
        <f t="shared" si="11"/>
        <v>0.00980392156862745</v>
      </c>
      <c r="V70" s="68">
        <f t="shared" si="12"/>
        <v>0.00980392156862745</v>
      </c>
    </row>
    <row r="71" spans="1:22" ht="12.75">
      <c r="A71" s="408"/>
      <c r="B71" s="128" t="s">
        <v>115</v>
      </c>
      <c r="C71" s="44"/>
      <c r="D71" s="44" t="s">
        <v>62</v>
      </c>
      <c r="E71" s="60"/>
      <c r="F71" s="21">
        <v>18</v>
      </c>
      <c r="G71" s="20">
        <v>18</v>
      </c>
      <c r="H71" s="148">
        <f t="shared" si="13"/>
        <v>1</v>
      </c>
      <c r="I71" s="55">
        <v>39</v>
      </c>
      <c r="J71" s="160">
        <f t="shared" si="14"/>
        <v>2.1666666666666665</v>
      </c>
      <c r="K71" s="65"/>
      <c r="L71" s="20">
        <v>0</v>
      </c>
      <c r="M71" s="20">
        <v>0</v>
      </c>
      <c r="N71" s="20">
        <v>0</v>
      </c>
      <c r="O71" s="71">
        <v>3</v>
      </c>
      <c r="P71" s="71">
        <v>0</v>
      </c>
      <c r="Q71" s="20">
        <v>0</v>
      </c>
      <c r="R71" s="20">
        <v>0</v>
      </c>
      <c r="S71" s="19"/>
      <c r="T71" s="55">
        <f>SUM(L71:R71)</f>
        <v>3</v>
      </c>
      <c r="U71" s="29">
        <f t="shared" si="11"/>
        <v>0</v>
      </c>
      <c r="V71" s="68">
        <f t="shared" si="12"/>
        <v>0.16666666666666666</v>
      </c>
    </row>
    <row r="72" spans="1:22" ht="13.5" thickBot="1">
      <c r="A72" s="409"/>
      <c r="B72" s="130" t="s">
        <v>116</v>
      </c>
      <c r="C72" s="63"/>
      <c r="D72" s="64" t="s">
        <v>62</v>
      </c>
      <c r="E72" s="59"/>
      <c r="F72" s="24">
        <v>18</v>
      </c>
      <c r="G72" s="23">
        <v>18</v>
      </c>
      <c r="H72" s="149">
        <f t="shared" si="13"/>
        <v>1</v>
      </c>
      <c r="I72" s="62">
        <v>50</v>
      </c>
      <c r="J72" s="161">
        <f t="shared" si="14"/>
        <v>2.7777777777777777</v>
      </c>
      <c r="K72" s="66"/>
      <c r="L72" s="23">
        <v>0</v>
      </c>
      <c r="M72" s="23">
        <v>0</v>
      </c>
      <c r="N72" s="23">
        <v>0</v>
      </c>
      <c r="O72" s="72">
        <v>3</v>
      </c>
      <c r="P72" s="72">
        <v>0</v>
      </c>
      <c r="Q72" s="23">
        <v>0</v>
      </c>
      <c r="R72" s="23">
        <v>0</v>
      </c>
      <c r="S72" s="22"/>
      <c r="T72" s="62">
        <f>SUM(L72:R72)</f>
        <v>3</v>
      </c>
      <c r="U72" s="30">
        <f t="shared" si="11"/>
        <v>0</v>
      </c>
      <c r="V72" s="69">
        <f t="shared" si="12"/>
        <v>0.16666666666666666</v>
      </c>
    </row>
    <row r="73" spans="1:22" ht="7.5" customHeight="1" thickBot="1">
      <c r="A73" s="3"/>
      <c r="B73" s="134"/>
      <c r="C73" s="46"/>
      <c r="D73" s="46"/>
      <c r="E73" s="25"/>
      <c r="F73" s="9"/>
      <c r="G73" s="9"/>
      <c r="H73" s="8"/>
      <c r="I73" s="8"/>
      <c r="J73" s="168"/>
      <c r="K73" s="9"/>
      <c r="L73" s="9"/>
      <c r="M73" s="9"/>
      <c r="N73" s="9"/>
      <c r="O73" s="9"/>
      <c r="P73" s="9"/>
      <c r="Q73" s="9"/>
      <c r="R73" s="9"/>
      <c r="S73" s="9"/>
      <c r="T73" s="27"/>
      <c r="U73" s="8"/>
      <c r="V73" s="157"/>
    </row>
    <row r="74" spans="1:22" s="98" customFormat="1" ht="15.75" thickBot="1">
      <c r="A74" s="11" t="s">
        <v>1</v>
      </c>
      <c r="B74" s="135"/>
      <c r="C74" s="94"/>
      <c r="D74" s="94"/>
      <c r="E74" s="170">
        <f>SUM(E2:E71)</f>
        <v>0</v>
      </c>
      <c r="F74" s="171">
        <f>SUM(F2:F72)</f>
        <v>2196</v>
      </c>
      <c r="G74" s="172">
        <f>SUM(G2:G72)</f>
        <v>2436</v>
      </c>
      <c r="H74" s="173">
        <f>IF(G74&lt;&gt;0,F74/G74,0)</f>
        <v>0.9014778325123153</v>
      </c>
      <c r="I74" s="174">
        <f>SUM(I2:I72)</f>
        <v>2999</v>
      </c>
      <c r="J74" s="175">
        <f>IF(F74&lt;&gt;0,I74/F74,0)</f>
        <v>1.365664845173042</v>
      </c>
      <c r="K74" s="176"/>
      <c r="L74" s="172">
        <f aca="true" t="shared" si="15" ref="L74:Q74">SUM(L2:L72)</f>
        <v>20</v>
      </c>
      <c r="M74" s="172">
        <f t="shared" si="15"/>
        <v>81</v>
      </c>
      <c r="N74" s="172">
        <f t="shared" si="15"/>
        <v>82</v>
      </c>
      <c r="O74" s="172">
        <f t="shared" si="15"/>
        <v>253</v>
      </c>
      <c r="P74" s="172">
        <f t="shared" si="15"/>
        <v>277</v>
      </c>
      <c r="Q74" s="172">
        <f t="shared" si="15"/>
        <v>7</v>
      </c>
      <c r="R74" s="172">
        <f>SUM(R2:R72)</f>
        <v>35</v>
      </c>
      <c r="S74" s="176"/>
      <c r="T74" s="177">
        <f>SUM(L74:R74)</f>
        <v>755</v>
      </c>
      <c r="U74" s="173">
        <f>IF(F74&lt;&gt;0,(L74+M74+N74+Q74+R74)/F74,0)</f>
        <v>0.10245901639344263</v>
      </c>
      <c r="V74" s="12">
        <f>IF(F74&lt;&gt;0,(T74)/F74,0)</f>
        <v>0.34380692167577415</v>
      </c>
    </row>
    <row r="75" spans="3:4" ht="6" customHeight="1">
      <c r="C75" s="13"/>
      <c r="D75" s="13"/>
    </row>
    <row r="76" spans="1:4" ht="12.75">
      <c r="A76" s="123" t="s">
        <v>96</v>
      </c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6" ht="12.75">
      <c r="C79" s="13"/>
      <c r="D79" s="13"/>
      <c r="F79" s="9"/>
    </row>
    <row r="80" spans="3:4" ht="12.75">
      <c r="C80" s="13"/>
      <c r="D80" s="13"/>
    </row>
    <row r="81" spans="1:4" ht="12.75">
      <c r="A81" t="s">
        <v>5</v>
      </c>
      <c r="C81" s="13"/>
      <c r="D81" s="13"/>
    </row>
    <row r="82" spans="3:4" ht="12.75">
      <c r="C82" s="13"/>
      <c r="D82" s="13"/>
    </row>
    <row r="83" spans="3:4" ht="12.75">
      <c r="C83" s="13"/>
      <c r="D83" s="13"/>
    </row>
  </sheetData>
  <sheetProtection/>
  <mergeCells count="26">
    <mergeCell ref="A27:A28"/>
    <mergeCell ref="A29:A30"/>
    <mergeCell ref="A33:A34"/>
    <mergeCell ref="A59:A64"/>
    <mergeCell ref="A38:A41"/>
    <mergeCell ref="A52:A53"/>
    <mergeCell ref="A42:A43"/>
    <mergeCell ref="A46:A47"/>
    <mergeCell ref="A57:A58"/>
    <mergeCell ref="A44:A45"/>
    <mergeCell ref="A21:A22"/>
    <mergeCell ref="A6:A9"/>
    <mergeCell ref="A18:A19"/>
    <mergeCell ref="A23:A26"/>
    <mergeCell ref="A2:A5"/>
    <mergeCell ref="A10:A12"/>
    <mergeCell ref="A13:A14"/>
    <mergeCell ref="A16:A17"/>
    <mergeCell ref="A31:A32"/>
    <mergeCell ref="A69:A72"/>
    <mergeCell ref="A50:A51"/>
    <mergeCell ref="A35:A36"/>
    <mergeCell ref="A54:A56"/>
    <mergeCell ref="A48:A49"/>
    <mergeCell ref="A67:A68"/>
    <mergeCell ref="A65:A66"/>
  </mergeCells>
  <printOptions/>
  <pageMargins left="0.25" right="0.28" top="0.57" bottom="0.42" header="0.25" footer="0.23"/>
  <pageSetup fitToHeight="1" fitToWidth="1" horizontalDpi="300" verticalDpi="300" orientation="portrait" paperSize="5" scale="70" r:id="rId1"/>
  <headerFooter alignWithMargins="0">
    <oddHeader>&amp;C&amp;"Arial,Bold"&amp;18Beta Testing Dashboard</oddHeader>
    <oddFooter>&amp;L&amp;F&amp;C&amp;P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75" zoomScaleNormal="75" workbookViewId="0" topLeftCell="A1">
      <selection activeCell="I6" sqref="I6"/>
    </sheetView>
  </sheetViews>
  <sheetFormatPr defaultColWidth="9.140625" defaultRowHeight="12.75"/>
  <cols>
    <col min="1" max="1" width="32.421875" style="0" bestFit="1" customWidth="1"/>
    <col min="2" max="2" width="3.140625" style="6" bestFit="1" customWidth="1"/>
    <col min="3" max="3" width="3.140625" style="6" customWidth="1"/>
    <col min="4" max="4" width="2.7109375" style="10" customWidth="1"/>
    <col min="5" max="6" width="5.421875" style="10" bestFit="1" customWidth="1"/>
    <col min="7" max="7" width="6.28125" style="7" customWidth="1"/>
    <col min="8" max="8" width="17.00390625" style="0" customWidth="1"/>
  </cols>
  <sheetData>
    <row r="1" spans="1:7" s="2" customFormat="1" ht="219" customHeight="1" thickBot="1">
      <c r="A1" s="5" t="s">
        <v>51</v>
      </c>
      <c r="B1" s="41" t="s">
        <v>4</v>
      </c>
      <c r="C1" s="41" t="s">
        <v>0</v>
      </c>
      <c r="D1" s="14" t="s">
        <v>93</v>
      </c>
      <c r="E1" s="15" t="s">
        <v>83</v>
      </c>
      <c r="F1" s="15" t="s">
        <v>82</v>
      </c>
      <c r="G1" s="15" t="s">
        <v>94</v>
      </c>
    </row>
    <row r="2" spans="1:7" ht="12.75">
      <c r="A2" s="421" t="s">
        <v>16</v>
      </c>
      <c r="B2" s="42" t="s">
        <v>62</v>
      </c>
      <c r="C2" s="42"/>
      <c r="D2" s="16"/>
      <c r="E2" s="17"/>
      <c r="F2" s="17"/>
      <c r="G2" s="67">
        <v>0</v>
      </c>
    </row>
    <row r="3" spans="1:7" ht="12.75">
      <c r="A3" s="422"/>
      <c r="B3" s="44"/>
      <c r="C3" s="44" t="s">
        <v>62</v>
      </c>
      <c r="D3" s="19"/>
      <c r="E3" s="20"/>
      <c r="F3" s="20"/>
      <c r="G3" s="68">
        <v>0</v>
      </c>
    </row>
    <row r="4" spans="1:7" ht="12.75">
      <c r="A4" s="416" t="s">
        <v>17</v>
      </c>
      <c r="B4" s="44" t="s">
        <v>62</v>
      </c>
      <c r="C4" s="44"/>
      <c r="D4" s="19"/>
      <c r="E4" s="20"/>
      <c r="F4" s="20"/>
      <c r="G4" s="68">
        <v>0</v>
      </c>
    </row>
    <row r="5" spans="1:7" ht="12.75">
      <c r="A5" s="417"/>
      <c r="B5" s="44"/>
      <c r="C5" s="44" t="s">
        <v>62</v>
      </c>
      <c r="D5" s="19"/>
      <c r="E5" s="20"/>
      <c r="F5" s="20"/>
      <c r="G5" s="68">
        <v>0</v>
      </c>
    </row>
    <row r="6" spans="1:7" ht="12.75">
      <c r="A6" s="108" t="s">
        <v>52</v>
      </c>
      <c r="B6" s="44"/>
      <c r="C6" s="44" t="s">
        <v>62</v>
      </c>
      <c r="D6" s="19"/>
      <c r="E6" s="20"/>
      <c r="F6" s="20"/>
      <c r="G6" s="68">
        <v>0</v>
      </c>
    </row>
    <row r="7" spans="1:7" ht="12.75">
      <c r="A7" s="416" t="s">
        <v>18</v>
      </c>
      <c r="B7" s="44" t="s">
        <v>62</v>
      </c>
      <c r="C7" s="44"/>
      <c r="D7" s="19"/>
      <c r="E7" s="20"/>
      <c r="F7" s="20"/>
      <c r="G7" s="68">
        <v>0</v>
      </c>
    </row>
    <row r="8" spans="1:7" ht="12.75">
      <c r="A8" s="416"/>
      <c r="B8" s="44"/>
      <c r="C8" s="44" t="s">
        <v>62</v>
      </c>
      <c r="D8" s="19"/>
      <c r="E8" s="20"/>
      <c r="F8" s="20"/>
      <c r="G8" s="68">
        <v>0</v>
      </c>
    </row>
    <row r="9" spans="1:7" ht="12.75">
      <c r="A9" s="399" t="s">
        <v>19</v>
      </c>
      <c r="B9" s="44" t="s">
        <v>62</v>
      </c>
      <c r="C9" s="44" t="s">
        <v>5</v>
      </c>
      <c r="D9" s="19"/>
      <c r="E9" s="20"/>
      <c r="F9" s="20"/>
      <c r="G9" s="68">
        <v>0</v>
      </c>
    </row>
    <row r="10" spans="1:7" ht="12.75">
      <c r="A10" s="400"/>
      <c r="B10" s="44" t="s">
        <v>5</v>
      </c>
      <c r="C10" s="44" t="s">
        <v>62</v>
      </c>
      <c r="D10" s="19"/>
      <c r="E10" s="20"/>
      <c r="F10" s="20"/>
      <c r="G10" s="68">
        <v>0</v>
      </c>
    </row>
    <row r="11" spans="1:7" ht="12.75">
      <c r="A11" s="108" t="s">
        <v>53</v>
      </c>
      <c r="B11" s="44"/>
      <c r="C11" s="44" t="s">
        <v>62</v>
      </c>
      <c r="D11" s="19"/>
      <c r="E11" s="20"/>
      <c r="F11" s="20"/>
      <c r="G11" s="68">
        <v>0</v>
      </c>
    </row>
    <row r="12" spans="1:7" ht="12.75">
      <c r="A12" s="108" t="s">
        <v>54</v>
      </c>
      <c r="B12" s="44"/>
      <c r="C12" s="44" t="s">
        <v>62</v>
      </c>
      <c r="D12" s="19"/>
      <c r="E12" s="20"/>
      <c r="F12" s="20"/>
      <c r="G12" s="68">
        <v>0</v>
      </c>
    </row>
    <row r="13" spans="1:7" ht="12.75">
      <c r="A13" s="108" t="s">
        <v>55</v>
      </c>
      <c r="B13" s="44"/>
      <c r="C13" s="44" t="s">
        <v>62</v>
      </c>
      <c r="D13" s="19"/>
      <c r="E13" s="20"/>
      <c r="F13" s="20"/>
      <c r="G13" s="68">
        <v>0</v>
      </c>
    </row>
    <row r="14" spans="1:7" ht="12.75">
      <c r="A14" s="108" t="s">
        <v>20</v>
      </c>
      <c r="B14" s="44" t="s">
        <v>62</v>
      </c>
      <c r="C14" s="44"/>
      <c r="D14" s="19"/>
      <c r="E14" s="20"/>
      <c r="F14" s="20"/>
      <c r="G14" s="68">
        <v>0</v>
      </c>
    </row>
    <row r="15" spans="1:7" ht="12.75">
      <c r="A15" s="416" t="s">
        <v>21</v>
      </c>
      <c r="B15" s="44" t="s">
        <v>62</v>
      </c>
      <c r="C15" s="44"/>
      <c r="D15" s="19"/>
      <c r="E15" s="20"/>
      <c r="F15" s="20"/>
      <c r="G15" s="68">
        <v>0</v>
      </c>
    </row>
    <row r="16" spans="1:7" ht="12.75">
      <c r="A16" s="417"/>
      <c r="B16" s="44" t="s">
        <v>5</v>
      </c>
      <c r="C16" s="44" t="s">
        <v>62</v>
      </c>
      <c r="D16" s="19"/>
      <c r="E16" s="20"/>
      <c r="F16" s="20"/>
      <c r="G16" s="68">
        <v>0</v>
      </c>
    </row>
    <row r="17" spans="1:7" s="4" customFormat="1" ht="12.75">
      <c r="A17" s="108" t="s">
        <v>2</v>
      </c>
      <c r="B17" s="44" t="s">
        <v>62</v>
      </c>
      <c r="C17" s="44"/>
      <c r="D17" s="19"/>
      <c r="E17" s="20"/>
      <c r="F17" s="20"/>
      <c r="G17" s="68">
        <v>0</v>
      </c>
    </row>
    <row r="18" spans="1:7" ht="12.75">
      <c r="A18" s="108" t="s">
        <v>56</v>
      </c>
      <c r="B18" s="44"/>
      <c r="C18" s="44" t="s">
        <v>62</v>
      </c>
      <c r="D18" s="19"/>
      <c r="E18" s="20"/>
      <c r="F18" s="20"/>
      <c r="G18" s="68">
        <v>0</v>
      </c>
    </row>
    <row r="19" spans="1:7" ht="12.75">
      <c r="A19" s="108" t="s">
        <v>81</v>
      </c>
      <c r="B19" s="44"/>
      <c r="C19" s="44" t="s">
        <v>62</v>
      </c>
      <c r="D19" s="19"/>
      <c r="E19" s="20"/>
      <c r="F19" s="20"/>
      <c r="G19" s="68">
        <v>0</v>
      </c>
    </row>
    <row r="20" spans="1:7" ht="12.75">
      <c r="A20" s="108" t="s">
        <v>57</v>
      </c>
      <c r="B20" s="44"/>
      <c r="C20" s="44" t="s">
        <v>62</v>
      </c>
      <c r="D20" s="19"/>
      <c r="E20" s="20"/>
      <c r="F20" s="20"/>
      <c r="G20" s="68">
        <v>0</v>
      </c>
    </row>
    <row r="21" spans="1:7" s="4" customFormat="1" ht="12.75">
      <c r="A21" s="416" t="s">
        <v>3</v>
      </c>
      <c r="B21" s="44" t="s">
        <v>62</v>
      </c>
      <c r="C21" s="44"/>
      <c r="D21" s="19"/>
      <c r="E21" s="20"/>
      <c r="F21" s="20"/>
      <c r="G21" s="68">
        <v>0</v>
      </c>
    </row>
    <row r="22" spans="1:7" s="4" customFormat="1" ht="12.75" customHeight="1">
      <c r="A22" s="417"/>
      <c r="B22" s="44" t="s">
        <v>5</v>
      </c>
      <c r="C22" s="44" t="s">
        <v>62</v>
      </c>
      <c r="D22" s="19"/>
      <c r="E22" s="20"/>
      <c r="F22" s="20"/>
      <c r="G22" s="68">
        <v>0</v>
      </c>
    </row>
    <row r="23" spans="1:7" s="4" customFormat="1" ht="12.75">
      <c r="A23" s="108" t="s">
        <v>22</v>
      </c>
      <c r="B23" s="44" t="s">
        <v>62</v>
      </c>
      <c r="C23" s="44"/>
      <c r="D23" s="19"/>
      <c r="E23" s="20"/>
      <c r="F23" s="20"/>
      <c r="G23" s="68">
        <v>0</v>
      </c>
    </row>
    <row r="24" spans="1:7" ht="12.75">
      <c r="A24" s="416" t="s">
        <v>23</v>
      </c>
      <c r="B24" s="44" t="s">
        <v>62</v>
      </c>
      <c r="C24" s="44"/>
      <c r="D24" s="19"/>
      <c r="E24" s="20"/>
      <c r="F24" s="20"/>
      <c r="G24" s="68">
        <v>0</v>
      </c>
    </row>
    <row r="25" spans="1:7" ht="12.75">
      <c r="A25" s="401"/>
      <c r="B25" s="44"/>
      <c r="C25" s="44" t="s">
        <v>62</v>
      </c>
      <c r="D25" s="19"/>
      <c r="E25" s="20"/>
      <c r="F25" s="20"/>
      <c r="G25" s="68">
        <v>0</v>
      </c>
    </row>
    <row r="26" spans="1:7" ht="12.75">
      <c r="A26" s="108" t="s">
        <v>58</v>
      </c>
      <c r="B26" s="44"/>
      <c r="C26" s="44" t="s">
        <v>62</v>
      </c>
      <c r="D26" s="19"/>
      <c r="E26" s="20"/>
      <c r="F26" s="20"/>
      <c r="G26" s="68">
        <v>0</v>
      </c>
    </row>
    <row r="27" spans="1:7" ht="12.75">
      <c r="A27" s="108" t="s">
        <v>84</v>
      </c>
      <c r="B27" s="44"/>
      <c r="C27" s="44" t="s">
        <v>62</v>
      </c>
      <c r="D27" s="19"/>
      <c r="E27" s="20"/>
      <c r="F27" s="20"/>
      <c r="G27" s="68">
        <v>0</v>
      </c>
    </row>
    <row r="28" spans="1:7" ht="12.75">
      <c r="A28" s="108" t="s">
        <v>59</v>
      </c>
      <c r="B28" s="44"/>
      <c r="C28" s="44" t="s">
        <v>62</v>
      </c>
      <c r="D28" s="19"/>
      <c r="E28" s="20"/>
      <c r="F28" s="20"/>
      <c r="G28" s="68">
        <v>0</v>
      </c>
    </row>
    <row r="29" spans="1:7" ht="12.75">
      <c r="A29" s="108" t="s">
        <v>24</v>
      </c>
      <c r="B29" s="44" t="s">
        <v>62</v>
      </c>
      <c r="C29" s="44"/>
      <c r="D29" s="19"/>
      <c r="E29" s="20"/>
      <c r="F29" s="20"/>
      <c r="G29" s="68">
        <v>0</v>
      </c>
    </row>
    <row r="30" spans="1:7" ht="12.75">
      <c r="A30" s="108" t="s">
        <v>37</v>
      </c>
      <c r="B30" s="44"/>
      <c r="C30" s="44" t="s">
        <v>62</v>
      </c>
      <c r="D30" s="19"/>
      <c r="E30" s="20"/>
      <c r="F30" s="20"/>
      <c r="G30" s="68">
        <v>0</v>
      </c>
    </row>
    <row r="31" spans="1:7" ht="12.75">
      <c r="A31" s="108" t="s">
        <v>25</v>
      </c>
      <c r="B31" s="44" t="s">
        <v>62</v>
      </c>
      <c r="C31" s="44"/>
      <c r="D31" s="19"/>
      <c r="E31" s="20"/>
      <c r="F31" s="20"/>
      <c r="G31" s="68">
        <v>0</v>
      </c>
    </row>
    <row r="32" spans="1:7" ht="12.75">
      <c r="A32" s="416" t="s">
        <v>26</v>
      </c>
      <c r="B32" s="44" t="s">
        <v>62</v>
      </c>
      <c r="C32" s="44" t="s">
        <v>5</v>
      </c>
      <c r="D32" s="19"/>
      <c r="E32" s="20"/>
      <c r="F32" s="20"/>
      <c r="G32" s="68">
        <v>0</v>
      </c>
    </row>
    <row r="33" spans="1:7" ht="12.75">
      <c r="A33" s="417"/>
      <c r="B33" s="44" t="s">
        <v>5</v>
      </c>
      <c r="C33" s="44" t="s">
        <v>62</v>
      </c>
      <c r="D33" s="19"/>
      <c r="E33" s="20"/>
      <c r="F33" s="20"/>
      <c r="G33" s="68">
        <v>0</v>
      </c>
    </row>
    <row r="34" spans="1:7" ht="12.75">
      <c r="A34" s="108" t="s">
        <v>60</v>
      </c>
      <c r="B34" s="44"/>
      <c r="C34" s="44" t="s">
        <v>62</v>
      </c>
      <c r="D34" s="19"/>
      <c r="E34" s="20"/>
      <c r="F34" s="20"/>
      <c r="G34" s="68">
        <v>0</v>
      </c>
    </row>
    <row r="35" spans="1:7" ht="12.75">
      <c r="A35" s="108" t="s">
        <v>61</v>
      </c>
      <c r="B35" s="44"/>
      <c r="C35" s="44" t="s">
        <v>62</v>
      </c>
      <c r="D35" s="19"/>
      <c r="E35" s="20"/>
      <c r="F35" s="20"/>
      <c r="G35" s="68">
        <v>0</v>
      </c>
    </row>
    <row r="36" spans="1:7" ht="12.75">
      <c r="A36" s="108" t="s">
        <v>68</v>
      </c>
      <c r="B36" s="44" t="s">
        <v>62</v>
      </c>
      <c r="C36" s="44"/>
      <c r="D36" s="19"/>
      <c r="E36" s="20"/>
      <c r="F36" s="20"/>
      <c r="G36" s="68">
        <v>0</v>
      </c>
    </row>
    <row r="37" spans="1:7" ht="12.75">
      <c r="A37" s="108" t="s">
        <v>78</v>
      </c>
      <c r="B37" s="44" t="s">
        <v>62</v>
      </c>
      <c r="C37" s="44"/>
      <c r="D37" s="19"/>
      <c r="E37" s="20"/>
      <c r="F37" s="20"/>
      <c r="G37" s="68">
        <v>0</v>
      </c>
    </row>
    <row r="38" spans="1:7" ht="12.75">
      <c r="A38" s="416" t="s">
        <v>27</v>
      </c>
      <c r="B38" s="44" t="s">
        <v>62</v>
      </c>
      <c r="C38" s="44"/>
      <c r="D38" s="19"/>
      <c r="E38" s="20"/>
      <c r="F38" s="20"/>
      <c r="G38" s="68">
        <v>0</v>
      </c>
    </row>
    <row r="39" spans="1:7" ht="13.5" thickBot="1">
      <c r="A39" s="418"/>
      <c r="B39" s="63"/>
      <c r="C39" s="64" t="s">
        <v>62</v>
      </c>
      <c r="D39" s="22"/>
      <c r="E39" s="23"/>
      <c r="F39" s="23"/>
      <c r="G39" s="69">
        <v>0</v>
      </c>
    </row>
    <row r="40" spans="1:7" ht="7.5" customHeight="1" thickBot="1">
      <c r="A40" s="3"/>
      <c r="B40" s="46"/>
      <c r="C40" s="46"/>
      <c r="D40" s="25"/>
      <c r="E40" s="9"/>
      <c r="F40" s="9"/>
      <c r="G40" s="8"/>
    </row>
    <row r="41" spans="1:7" s="98" customFormat="1" ht="15.75" thickBot="1">
      <c r="A41" s="11" t="s">
        <v>1</v>
      </c>
      <c r="B41" s="94"/>
      <c r="C41" s="94"/>
      <c r="D41" s="95">
        <f>SUM(D2:D38)</f>
        <v>0</v>
      </c>
      <c r="E41" s="117"/>
      <c r="F41" s="118"/>
      <c r="G41" s="116" t="e">
        <f>IF(#REF!&lt;&gt;0,F41/#REF!,0)</f>
        <v>#REF!</v>
      </c>
    </row>
    <row r="42" spans="2:3" ht="12.75">
      <c r="B42" s="13"/>
      <c r="C42" s="13"/>
    </row>
    <row r="43" spans="2:3" ht="12.75">
      <c r="B43" s="13"/>
      <c r="C43" s="13"/>
    </row>
    <row r="44" spans="2:3" ht="12.75">
      <c r="B44" s="13"/>
      <c r="C44" s="13"/>
    </row>
    <row r="45" spans="2:3" ht="12.75">
      <c r="B45" s="13"/>
      <c r="C45" s="13"/>
    </row>
    <row r="46" spans="2:5" ht="12.75">
      <c r="B46" s="13"/>
      <c r="C46" s="13"/>
      <c r="E46" s="9"/>
    </row>
    <row r="47" spans="2:3" ht="12.75">
      <c r="B47" s="13"/>
      <c r="C47" s="13"/>
    </row>
    <row r="48" spans="1:3" ht="12.75">
      <c r="A48" t="s">
        <v>5</v>
      </c>
      <c r="B48" s="13"/>
      <c r="C48" s="13"/>
    </row>
    <row r="49" spans="2:3" ht="12.75">
      <c r="B49" s="13"/>
      <c r="C49" s="13"/>
    </row>
    <row r="50" spans="2:3" ht="12.75">
      <c r="B50" s="13"/>
      <c r="C50" s="13"/>
    </row>
  </sheetData>
  <mergeCells count="9">
    <mergeCell ref="A38:A39"/>
    <mergeCell ref="A32:A33"/>
    <mergeCell ref="A21:A22"/>
    <mergeCell ref="A24:A25"/>
    <mergeCell ref="A15:A16"/>
    <mergeCell ref="A2:A3"/>
    <mergeCell ref="A4:A5"/>
    <mergeCell ref="A7:A8"/>
    <mergeCell ref="A9:A10"/>
  </mergeCells>
  <printOptions/>
  <pageMargins left="0.75" right="0.75" top="0.64" bottom="0.47" header="0.29" footer="0.23"/>
  <pageSetup horizontalDpi="600" verticalDpi="600" orientation="portrait" r:id="rId1"/>
  <headerFooter alignWithMargins="0">
    <oddHeader>&amp;C&amp;"Arial,Bold"&amp;16EDS 1 - Release 2 Verify ICCP by MP</oddHeader>
    <oddFooter>&amp;L&amp;F&amp;C&amp;P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zoomScale="75" zoomScaleNormal="75" workbookViewId="0" topLeftCell="A1">
      <selection activeCell="E41" sqref="E41"/>
    </sheetView>
  </sheetViews>
  <sheetFormatPr defaultColWidth="9.140625" defaultRowHeight="12.75"/>
  <cols>
    <col min="1" max="1" width="32.421875" style="0" bestFit="1" customWidth="1"/>
    <col min="2" max="2" width="3.140625" style="6" bestFit="1" customWidth="1"/>
    <col min="3" max="3" width="3.140625" style="6" customWidth="1"/>
    <col min="4" max="4" width="2.7109375" style="10" customWidth="1"/>
    <col min="5" max="5" width="6.8515625" style="10" bestFit="1" customWidth="1"/>
    <col min="6" max="6" width="7.57421875" style="10" bestFit="1" customWidth="1"/>
    <col min="7" max="7" width="5.140625" style="10" bestFit="1" customWidth="1"/>
    <col min="8" max="8" width="7.57421875" style="10" bestFit="1" customWidth="1"/>
    <col min="9" max="9" width="4.140625" style="10" bestFit="1" customWidth="1"/>
    <col min="10" max="10" width="6.421875" style="10" bestFit="1" customWidth="1"/>
    <col min="11" max="11" width="8.00390625" style="10" bestFit="1" customWidth="1"/>
    <col min="12" max="12" width="2.7109375" style="10" customWidth="1"/>
    <col min="13" max="13" width="4.140625" style="10" bestFit="1" customWidth="1"/>
    <col min="14" max="14" width="6.421875" style="10" bestFit="1" customWidth="1"/>
    <col min="15" max="15" width="3.8515625" style="10" bestFit="1" customWidth="1"/>
    <col min="16" max="16" width="5.7109375" style="10" bestFit="1" customWidth="1"/>
    <col min="17" max="17" width="4.7109375" style="0" bestFit="1" customWidth="1"/>
    <col min="18" max="18" width="12.140625" style="0" customWidth="1"/>
    <col min="19" max="19" width="4.7109375" style="0" customWidth="1"/>
    <col min="21" max="21" width="4.140625" style="0" customWidth="1"/>
    <col min="23" max="23" width="7.28125" style="0" customWidth="1"/>
    <col min="24" max="24" width="4.140625" style="0" customWidth="1"/>
    <col min="25" max="25" width="8.00390625" style="0" customWidth="1"/>
  </cols>
  <sheetData>
    <row r="1" spans="1:25" s="2" customFormat="1" ht="228.75" customHeight="1" thickBot="1">
      <c r="A1" s="109" t="s">
        <v>51</v>
      </c>
      <c r="B1" s="110" t="s">
        <v>4</v>
      </c>
      <c r="C1" s="110" t="s">
        <v>0</v>
      </c>
      <c r="D1" s="14" t="s">
        <v>123</v>
      </c>
      <c r="E1" s="15" t="s">
        <v>125</v>
      </c>
      <c r="F1" s="15" t="s">
        <v>127</v>
      </c>
      <c r="G1" s="15" t="s">
        <v>144</v>
      </c>
      <c r="H1" s="15" t="s">
        <v>145</v>
      </c>
      <c r="I1" s="15" t="s">
        <v>146</v>
      </c>
      <c r="J1" s="15" t="s">
        <v>147</v>
      </c>
      <c r="K1" s="15" t="s">
        <v>129</v>
      </c>
      <c r="L1" s="14" t="s">
        <v>128</v>
      </c>
      <c r="M1" s="15" t="s">
        <v>124</v>
      </c>
      <c r="N1" s="15" t="s">
        <v>142</v>
      </c>
      <c r="O1" s="15" t="s">
        <v>126</v>
      </c>
      <c r="P1" s="15" t="s">
        <v>141</v>
      </c>
      <c r="Q1" s="15" t="s">
        <v>140</v>
      </c>
      <c r="S1"/>
      <c r="U1"/>
      <c r="V1"/>
      <c r="W1"/>
      <c r="X1"/>
      <c r="Y1"/>
    </row>
    <row r="2" spans="1:17" ht="12.75">
      <c r="A2" s="421" t="s">
        <v>16</v>
      </c>
      <c r="B2" s="42" t="s">
        <v>62</v>
      </c>
      <c r="C2" s="42"/>
      <c r="D2" s="16"/>
      <c r="E2" s="236">
        <v>61</v>
      </c>
      <c r="F2" s="236">
        <f>1682+360</f>
        <v>2042</v>
      </c>
      <c r="G2" s="237"/>
      <c r="H2" s="237"/>
      <c r="I2" s="237"/>
      <c r="J2" s="237"/>
      <c r="K2" s="236">
        <f>F2+H2</f>
        <v>2042</v>
      </c>
      <c r="L2" s="16"/>
      <c r="M2" s="17">
        <v>1</v>
      </c>
      <c r="N2" s="233">
        <f>(K2*M2)/60</f>
        <v>34.03333333333333</v>
      </c>
      <c r="O2" s="257">
        <v>35</v>
      </c>
      <c r="P2" s="258">
        <f>N2/O2</f>
        <v>0.9723809523809523</v>
      </c>
      <c r="Q2" s="261">
        <f>(N2/O2)*5</f>
        <v>4.8619047619047615</v>
      </c>
    </row>
    <row r="3" spans="1:18" ht="12.75">
      <c r="A3" s="422"/>
      <c r="B3" s="44"/>
      <c r="C3" s="44" t="s">
        <v>62</v>
      </c>
      <c r="D3" s="19"/>
      <c r="E3" s="238">
        <v>7</v>
      </c>
      <c r="F3" s="239">
        <f>443+129</f>
        <v>572</v>
      </c>
      <c r="G3" s="238">
        <f>17+4</f>
        <v>21</v>
      </c>
      <c r="H3" s="238">
        <f>G3*30</f>
        <v>630</v>
      </c>
      <c r="I3" s="238">
        <f>2+2</f>
        <v>4</v>
      </c>
      <c r="J3" s="238">
        <f>I3*30</f>
        <v>120</v>
      </c>
      <c r="K3" s="238">
        <f>F3+H3+J3</f>
        <v>1322</v>
      </c>
      <c r="L3" s="19"/>
      <c r="M3" s="26">
        <v>1</v>
      </c>
      <c r="N3" s="234">
        <f aca="true" t="shared" si="0" ref="N3:N39">(K3*M3)/60</f>
        <v>22.033333333333335</v>
      </c>
      <c r="O3" s="20">
        <v>35</v>
      </c>
      <c r="P3" s="259">
        <f aca="true" t="shared" si="1" ref="P3:P39">N3/O3</f>
        <v>0.6295238095238096</v>
      </c>
      <c r="Q3" s="246">
        <f>(N3/O3)*5</f>
        <v>3.147619047619048</v>
      </c>
      <c r="R3" s="1"/>
    </row>
    <row r="4" spans="1:17" ht="12.75">
      <c r="A4" s="416" t="s">
        <v>17</v>
      </c>
      <c r="B4" s="44" t="s">
        <v>62</v>
      </c>
      <c r="C4" s="44"/>
      <c r="D4" s="19"/>
      <c r="E4" s="238">
        <v>683</v>
      </c>
      <c r="F4" s="239">
        <f>8841+2091</f>
        <v>10932</v>
      </c>
      <c r="G4" s="240"/>
      <c r="H4" s="240"/>
      <c r="I4" s="240"/>
      <c r="J4" s="240"/>
      <c r="K4" s="238">
        <f>F4+H4</f>
        <v>10932</v>
      </c>
      <c r="L4" s="19"/>
      <c r="M4" s="26">
        <v>1</v>
      </c>
      <c r="N4" s="234">
        <f t="shared" si="0"/>
        <v>182.2</v>
      </c>
      <c r="O4" s="20">
        <v>35</v>
      </c>
      <c r="P4" s="259">
        <f t="shared" si="1"/>
        <v>5.2057142857142855</v>
      </c>
      <c r="Q4" s="246">
        <f aca="true" t="shared" si="2" ref="Q4:Q39">(N4/O4)*5</f>
        <v>26.02857142857143</v>
      </c>
    </row>
    <row r="5" spans="1:18" ht="12.75">
      <c r="A5" s="417"/>
      <c r="B5" s="44"/>
      <c r="C5" s="44" t="s">
        <v>62</v>
      </c>
      <c r="D5" s="19"/>
      <c r="E5" s="238">
        <v>6</v>
      </c>
      <c r="F5" s="239">
        <f>231+103</f>
        <v>334</v>
      </c>
      <c r="G5" s="238">
        <f>6+3</f>
        <v>9</v>
      </c>
      <c r="H5" s="238">
        <f>G5*30</f>
        <v>270</v>
      </c>
      <c r="I5" s="238">
        <v>3</v>
      </c>
      <c r="J5" s="238">
        <f>I5*30</f>
        <v>90</v>
      </c>
      <c r="K5" s="238">
        <f>F5+H5+J5</f>
        <v>694</v>
      </c>
      <c r="L5" s="19"/>
      <c r="M5" s="26">
        <v>1</v>
      </c>
      <c r="N5" s="234">
        <f t="shared" si="0"/>
        <v>11.566666666666666</v>
      </c>
      <c r="O5" s="20">
        <v>35</v>
      </c>
      <c r="P5" s="259">
        <f t="shared" si="1"/>
        <v>0.3304761904761905</v>
      </c>
      <c r="Q5" s="246">
        <f t="shared" si="2"/>
        <v>1.6523809523809523</v>
      </c>
      <c r="R5" s="1"/>
    </row>
    <row r="6" spans="1:18" ht="12.75">
      <c r="A6" s="108" t="s">
        <v>52</v>
      </c>
      <c r="B6" s="44"/>
      <c r="C6" s="44" t="s">
        <v>62</v>
      </c>
      <c r="D6" s="19"/>
      <c r="E6" s="238">
        <v>15</v>
      </c>
      <c r="F6" s="239">
        <f>1053+69</f>
        <v>1122</v>
      </c>
      <c r="G6" s="238">
        <f>49+6+3</f>
        <v>58</v>
      </c>
      <c r="H6" s="238">
        <f>G6*30</f>
        <v>1740</v>
      </c>
      <c r="I6" s="238">
        <v>11</v>
      </c>
      <c r="J6" s="238">
        <f>I6*30</f>
        <v>330</v>
      </c>
      <c r="K6" s="238">
        <f>F6+H6+J6</f>
        <v>3192</v>
      </c>
      <c r="L6" s="19"/>
      <c r="M6" s="26">
        <v>1</v>
      </c>
      <c r="N6" s="234">
        <f t="shared" si="0"/>
        <v>53.2</v>
      </c>
      <c r="O6" s="20">
        <v>35</v>
      </c>
      <c r="P6" s="234">
        <f t="shared" si="1"/>
        <v>1.52</v>
      </c>
      <c r="Q6" s="246">
        <f t="shared" si="2"/>
        <v>7.6</v>
      </c>
      <c r="R6" s="1"/>
    </row>
    <row r="7" spans="1:17" ht="12.75">
      <c r="A7" s="416" t="s">
        <v>18</v>
      </c>
      <c r="B7" s="44" t="s">
        <v>62</v>
      </c>
      <c r="C7" s="44"/>
      <c r="D7" s="19"/>
      <c r="E7" s="238">
        <f>249+69</f>
        <v>318</v>
      </c>
      <c r="F7" s="239">
        <f>3035+1134</f>
        <v>4169</v>
      </c>
      <c r="G7" s="240"/>
      <c r="H7" s="240"/>
      <c r="I7" s="240"/>
      <c r="J7" s="240"/>
      <c r="K7" s="238">
        <f>F7+H7</f>
        <v>4169</v>
      </c>
      <c r="L7" s="19"/>
      <c r="M7" s="26">
        <v>1</v>
      </c>
      <c r="N7" s="234">
        <f t="shared" si="0"/>
        <v>69.48333333333333</v>
      </c>
      <c r="O7" s="20">
        <v>35</v>
      </c>
      <c r="P7" s="234">
        <f t="shared" si="1"/>
        <v>1.9852380952380952</v>
      </c>
      <c r="Q7" s="246">
        <f t="shared" si="2"/>
        <v>9.926190476190476</v>
      </c>
    </row>
    <row r="8" spans="1:17" ht="12.75">
      <c r="A8" s="416"/>
      <c r="B8" s="44"/>
      <c r="C8" s="44" t="s">
        <v>62</v>
      </c>
      <c r="D8" s="19"/>
      <c r="E8" s="238">
        <v>7</v>
      </c>
      <c r="F8" s="239">
        <f>307+0</f>
        <v>307</v>
      </c>
      <c r="G8" s="238">
        <v>13</v>
      </c>
      <c r="H8" s="238">
        <f>G8*30</f>
        <v>390</v>
      </c>
      <c r="I8" s="238">
        <v>2</v>
      </c>
      <c r="J8" s="238">
        <f>I8*30</f>
        <v>60</v>
      </c>
      <c r="K8" s="238">
        <f>F8+H8+J8</f>
        <v>757</v>
      </c>
      <c r="L8" s="19"/>
      <c r="M8" s="26">
        <v>1</v>
      </c>
      <c r="N8" s="234">
        <f t="shared" si="0"/>
        <v>12.616666666666667</v>
      </c>
      <c r="O8" s="20">
        <v>35</v>
      </c>
      <c r="P8" s="234">
        <f t="shared" si="1"/>
        <v>0.3604761904761905</v>
      </c>
      <c r="Q8" s="246">
        <f t="shared" si="2"/>
        <v>1.8023809523809526</v>
      </c>
    </row>
    <row r="9" spans="1:17" ht="12.75">
      <c r="A9" s="416" t="s">
        <v>19</v>
      </c>
      <c r="B9" s="44" t="s">
        <v>62</v>
      </c>
      <c r="C9" s="44" t="s">
        <v>5</v>
      </c>
      <c r="D9" s="19"/>
      <c r="E9" s="238">
        <v>19</v>
      </c>
      <c r="F9" s="239">
        <f>230+81</f>
        <v>311</v>
      </c>
      <c r="G9" s="240"/>
      <c r="H9" s="240"/>
      <c r="I9" s="240"/>
      <c r="J9" s="240"/>
      <c r="K9" s="238">
        <f>F9+H9</f>
        <v>311</v>
      </c>
      <c r="L9" s="19"/>
      <c r="M9" s="26">
        <v>1</v>
      </c>
      <c r="N9" s="234">
        <f t="shared" si="0"/>
        <v>5.183333333333334</v>
      </c>
      <c r="O9" s="20">
        <v>35</v>
      </c>
      <c r="P9" s="234">
        <f t="shared" si="1"/>
        <v>0.1480952380952381</v>
      </c>
      <c r="Q9" s="246">
        <f t="shared" si="2"/>
        <v>0.7404761904761905</v>
      </c>
    </row>
    <row r="10" spans="1:17" ht="12.75">
      <c r="A10" s="416"/>
      <c r="B10" s="44"/>
      <c r="C10" s="44" t="s">
        <v>62</v>
      </c>
      <c r="D10" s="19"/>
      <c r="E10" s="238">
        <v>7</v>
      </c>
      <c r="F10" s="239">
        <f>374+131</f>
        <v>505</v>
      </c>
      <c r="G10" s="238">
        <f>11+7</f>
        <v>18</v>
      </c>
      <c r="H10" s="238">
        <f>G10*30</f>
        <v>540</v>
      </c>
      <c r="I10" s="238">
        <f>2+2</f>
        <v>4</v>
      </c>
      <c r="J10" s="238">
        <f>I10*30</f>
        <v>120</v>
      </c>
      <c r="K10" s="238">
        <f>F10+H10+J10</f>
        <v>1165</v>
      </c>
      <c r="L10" s="19"/>
      <c r="M10" s="26">
        <v>1</v>
      </c>
      <c r="N10" s="234">
        <f t="shared" si="0"/>
        <v>19.416666666666668</v>
      </c>
      <c r="O10" s="20">
        <v>35</v>
      </c>
      <c r="P10" s="234">
        <f t="shared" si="1"/>
        <v>0.5547619047619048</v>
      </c>
      <c r="Q10" s="246">
        <f t="shared" si="2"/>
        <v>2.7738095238095237</v>
      </c>
    </row>
    <row r="11" spans="1:18" ht="12.75">
      <c r="A11" s="108" t="s">
        <v>53</v>
      </c>
      <c r="B11" s="44"/>
      <c r="C11" s="44" t="s">
        <v>62</v>
      </c>
      <c r="D11" s="19"/>
      <c r="E11" s="238">
        <v>13</v>
      </c>
      <c r="F11" s="239">
        <f>763+58</f>
        <v>821</v>
      </c>
      <c r="G11" s="238">
        <f>40+4</f>
        <v>44</v>
      </c>
      <c r="H11" s="238">
        <f>G11*30</f>
        <v>1320</v>
      </c>
      <c r="I11" s="238">
        <v>14</v>
      </c>
      <c r="J11" s="238">
        <f>I11*30</f>
        <v>420</v>
      </c>
      <c r="K11" s="238">
        <f>F11+H11+J11</f>
        <v>2561</v>
      </c>
      <c r="L11" s="19"/>
      <c r="M11" s="26">
        <v>1</v>
      </c>
      <c r="N11" s="234">
        <f t="shared" si="0"/>
        <v>42.68333333333333</v>
      </c>
      <c r="O11" s="20">
        <v>35</v>
      </c>
      <c r="P11" s="234">
        <f t="shared" si="1"/>
        <v>1.2195238095238095</v>
      </c>
      <c r="Q11" s="246">
        <f t="shared" si="2"/>
        <v>6.097619047619047</v>
      </c>
      <c r="R11" s="1"/>
    </row>
    <row r="12" spans="1:18" ht="12.75">
      <c r="A12" s="108" t="s">
        <v>54</v>
      </c>
      <c r="B12" s="44"/>
      <c r="C12" s="44" t="s">
        <v>62</v>
      </c>
      <c r="D12" s="19"/>
      <c r="E12" s="238">
        <v>2</v>
      </c>
      <c r="F12" s="239">
        <f>72+35</f>
        <v>107</v>
      </c>
      <c r="G12" s="238">
        <f>3+3</f>
        <v>6</v>
      </c>
      <c r="H12" s="238">
        <f>G12*30</f>
        <v>180</v>
      </c>
      <c r="I12" s="238">
        <v>0</v>
      </c>
      <c r="J12" s="238">
        <f>I12*30</f>
        <v>0</v>
      </c>
      <c r="K12" s="238">
        <f>F12+H12+J12</f>
        <v>287</v>
      </c>
      <c r="L12" s="19"/>
      <c r="M12" s="26">
        <v>1</v>
      </c>
      <c r="N12" s="234">
        <f t="shared" si="0"/>
        <v>4.783333333333333</v>
      </c>
      <c r="O12" s="20">
        <v>35</v>
      </c>
      <c r="P12" s="234">
        <f t="shared" si="1"/>
        <v>0.13666666666666666</v>
      </c>
      <c r="Q12" s="246">
        <f t="shared" si="2"/>
        <v>0.6833333333333333</v>
      </c>
      <c r="R12" s="1"/>
    </row>
    <row r="13" spans="1:18" ht="12.75">
      <c r="A13" s="108" t="s">
        <v>55</v>
      </c>
      <c r="B13" s="44" t="s">
        <v>5</v>
      </c>
      <c r="C13" s="44" t="s">
        <v>62</v>
      </c>
      <c r="D13" s="19"/>
      <c r="E13" s="238">
        <v>5</v>
      </c>
      <c r="F13" s="239">
        <v>91</v>
      </c>
      <c r="G13" s="238">
        <f>6+4</f>
        <v>10</v>
      </c>
      <c r="H13" s="238">
        <f>G13*30</f>
        <v>300</v>
      </c>
      <c r="I13" s="238">
        <v>0</v>
      </c>
      <c r="J13" s="238">
        <f>I13*30</f>
        <v>0</v>
      </c>
      <c r="K13" s="238">
        <f>F13+H13+J13</f>
        <v>391</v>
      </c>
      <c r="L13" s="19"/>
      <c r="M13" s="26">
        <v>1</v>
      </c>
      <c r="N13" s="234">
        <f t="shared" si="0"/>
        <v>6.516666666666667</v>
      </c>
      <c r="O13" s="20">
        <v>35</v>
      </c>
      <c r="P13" s="234">
        <f t="shared" si="1"/>
        <v>0.18619047619047618</v>
      </c>
      <c r="Q13" s="246">
        <f t="shared" si="2"/>
        <v>0.930952380952381</v>
      </c>
      <c r="R13" s="1"/>
    </row>
    <row r="14" spans="1:17" ht="12.75">
      <c r="A14" s="108" t="s">
        <v>20</v>
      </c>
      <c r="B14" s="44" t="s">
        <v>62</v>
      </c>
      <c r="C14" s="44"/>
      <c r="D14" s="19"/>
      <c r="E14" s="238">
        <f>109+221</f>
        <v>330</v>
      </c>
      <c r="F14" s="239">
        <f>2173+4634</f>
        <v>6807</v>
      </c>
      <c r="G14" s="240"/>
      <c r="H14" s="240"/>
      <c r="I14" s="240"/>
      <c r="J14" s="240"/>
      <c r="K14" s="238">
        <f>F14+H14</f>
        <v>6807</v>
      </c>
      <c r="L14" s="19"/>
      <c r="M14" s="26">
        <v>1</v>
      </c>
      <c r="N14" s="234">
        <f t="shared" si="0"/>
        <v>113.45</v>
      </c>
      <c r="O14" s="20">
        <v>35</v>
      </c>
      <c r="P14" s="234">
        <f t="shared" si="1"/>
        <v>3.2414285714285715</v>
      </c>
      <c r="Q14" s="246">
        <f t="shared" si="2"/>
        <v>16.20714285714286</v>
      </c>
    </row>
    <row r="15" spans="1:17" ht="12.75">
      <c r="A15" s="416" t="s">
        <v>21</v>
      </c>
      <c r="B15" s="44" t="s">
        <v>62</v>
      </c>
      <c r="C15" s="44"/>
      <c r="D15" s="19"/>
      <c r="E15" s="238">
        <v>84</v>
      </c>
      <c r="F15" s="239">
        <f>1350+409</f>
        <v>1759</v>
      </c>
      <c r="G15" s="240"/>
      <c r="H15" s="240"/>
      <c r="I15" s="240"/>
      <c r="J15" s="240"/>
      <c r="K15" s="238">
        <f>F15+H15</f>
        <v>1759</v>
      </c>
      <c r="L15" s="19"/>
      <c r="M15" s="26">
        <v>1</v>
      </c>
      <c r="N15" s="234">
        <f t="shared" si="0"/>
        <v>29.316666666666666</v>
      </c>
      <c r="O15" s="20">
        <v>35</v>
      </c>
      <c r="P15" s="234">
        <f t="shared" si="1"/>
        <v>0.8376190476190476</v>
      </c>
      <c r="Q15" s="246">
        <f t="shared" si="2"/>
        <v>4.188095238095238</v>
      </c>
    </row>
    <row r="16" spans="1:17" ht="12.75">
      <c r="A16" s="417"/>
      <c r="B16" s="44" t="s">
        <v>5</v>
      </c>
      <c r="C16" s="44" t="s">
        <v>62</v>
      </c>
      <c r="D16" s="19"/>
      <c r="E16" s="238">
        <v>7</v>
      </c>
      <c r="F16" s="239">
        <f>377+136</f>
        <v>513</v>
      </c>
      <c r="G16" s="238">
        <f>19+7</f>
        <v>26</v>
      </c>
      <c r="H16" s="238">
        <f>G16*30</f>
        <v>780</v>
      </c>
      <c r="I16" s="238">
        <v>0</v>
      </c>
      <c r="J16" s="238">
        <f>I16*30</f>
        <v>0</v>
      </c>
      <c r="K16" s="238">
        <f>F16+H16+J16</f>
        <v>1293</v>
      </c>
      <c r="L16" s="19"/>
      <c r="M16" s="26">
        <v>1</v>
      </c>
      <c r="N16" s="234">
        <f t="shared" si="0"/>
        <v>21.55</v>
      </c>
      <c r="O16" s="20">
        <v>35</v>
      </c>
      <c r="P16" s="234">
        <f t="shared" si="1"/>
        <v>0.6157142857142858</v>
      </c>
      <c r="Q16" s="246">
        <f t="shared" si="2"/>
        <v>3.0785714285714287</v>
      </c>
    </row>
    <row r="17" spans="1:17" s="4" customFormat="1" ht="12.75">
      <c r="A17" s="108" t="s">
        <v>2</v>
      </c>
      <c r="B17" s="44" t="s">
        <v>62</v>
      </c>
      <c r="C17" s="44"/>
      <c r="D17" s="19"/>
      <c r="E17" s="238">
        <v>10</v>
      </c>
      <c r="F17" s="239">
        <f>133+41</f>
        <v>174</v>
      </c>
      <c r="G17" s="240"/>
      <c r="H17" s="240"/>
      <c r="I17" s="240"/>
      <c r="J17" s="240"/>
      <c r="K17" s="238">
        <f>F17+H17</f>
        <v>174</v>
      </c>
      <c r="L17" s="19"/>
      <c r="M17" s="26">
        <v>1</v>
      </c>
      <c r="N17" s="234">
        <f t="shared" si="0"/>
        <v>2.9</v>
      </c>
      <c r="O17" s="20">
        <v>35</v>
      </c>
      <c r="P17" s="234">
        <f t="shared" si="1"/>
        <v>0.08285714285714285</v>
      </c>
      <c r="Q17" s="246">
        <f t="shared" si="2"/>
        <v>0.41428571428571426</v>
      </c>
    </row>
    <row r="18" spans="1:18" ht="12.75">
      <c r="A18" s="108" t="s">
        <v>56</v>
      </c>
      <c r="B18" s="44"/>
      <c r="C18" s="44" t="s">
        <v>62</v>
      </c>
      <c r="D18" s="19"/>
      <c r="E18" s="238">
        <v>1</v>
      </c>
      <c r="F18" s="239">
        <v>87</v>
      </c>
      <c r="G18" s="238">
        <v>7</v>
      </c>
      <c r="H18" s="238">
        <f>G18*30</f>
        <v>210</v>
      </c>
      <c r="I18" s="238">
        <v>0</v>
      </c>
      <c r="J18" s="238">
        <f>I18*30</f>
        <v>0</v>
      </c>
      <c r="K18" s="238">
        <f>F18+H18+J18</f>
        <v>297</v>
      </c>
      <c r="L18" s="19"/>
      <c r="M18" s="26">
        <v>1</v>
      </c>
      <c r="N18" s="234">
        <f t="shared" si="0"/>
        <v>4.95</v>
      </c>
      <c r="O18" s="20">
        <v>35</v>
      </c>
      <c r="P18" s="234">
        <f t="shared" si="1"/>
        <v>0.14142857142857143</v>
      </c>
      <c r="Q18" s="246">
        <f t="shared" si="2"/>
        <v>0.7071428571428572</v>
      </c>
      <c r="R18" s="1"/>
    </row>
    <row r="19" spans="1:18" ht="12.75">
      <c r="A19" s="108" t="s">
        <v>81</v>
      </c>
      <c r="B19" s="44"/>
      <c r="C19" s="44" t="s">
        <v>62</v>
      </c>
      <c r="D19" s="19"/>
      <c r="E19" s="238">
        <v>4</v>
      </c>
      <c r="F19" s="239">
        <f>379+99</f>
        <v>478</v>
      </c>
      <c r="G19" s="238">
        <f>28+4</f>
        <v>32</v>
      </c>
      <c r="H19" s="238">
        <f>G19*30</f>
        <v>960</v>
      </c>
      <c r="I19" s="238">
        <f>12+3</f>
        <v>15</v>
      </c>
      <c r="J19" s="238">
        <f>I19*30</f>
        <v>450</v>
      </c>
      <c r="K19" s="238">
        <f>F19+H19+J19</f>
        <v>1888</v>
      </c>
      <c r="L19" s="19"/>
      <c r="M19" s="26">
        <v>1</v>
      </c>
      <c r="N19" s="234">
        <f t="shared" si="0"/>
        <v>31.466666666666665</v>
      </c>
      <c r="O19" s="20">
        <v>35</v>
      </c>
      <c r="P19" s="234">
        <f t="shared" si="1"/>
        <v>0.899047619047619</v>
      </c>
      <c r="Q19" s="246">
        <f t="shared" si="2"/>
        <v>4.495238095238095</v>
      </c>
      <c r="R19" s="1"/>
    </row>
    <row r="20" spans="1:18" ht="12.75">
      <c r="A20" s="108" t="s">
        <v>57</v>
      </c>
      <c r="B20" s="44"/>
      <c r="C20" s="44" t="s">
        <v>62</v>
      </c>
      <c r="D20" s="19"/>
      <c r="E20" s="238">
        <v>11</v>
      </c>
      <c r="F20" s="239">
        <v>341</v>
      </c>
      <c r="G20" s="238">
        <v>23</v>
      </c>
      <c r="H20" s="238">
        <f>G20*30</f>
        <v>690</v>
      </c>
      <c r="I20" s="238">
        <v>0</v>
      </c>
      <c r="J20" s="238">
        <f>I20*30</f>
        <v>0</v>
      </c>
      <c r="K20" s="238">
        <f>F20+H20+J20</f>
        <v>1031</v>
      </c>
      <c r="L20" s="19"/>
      <c r="M20" s="26">
        <v>1</v>
      </c>
      <c r="N20" s="234">
        <f t="shared" si="0"/>
        <v>17.183333333333334</v>
      </c>
      <c r="O20" s="20">
        <v>35</v>
      </c>
      <c r="P20" s="234">
        <f t="shared" si="1"/>
        <v>0.490952380952381</v>
      </c>
      <c r="Q20" s="246">
        <f t="shared" si="2"/>
        <v>2.454761904761905</v>
      </c>
      <c r="R20" s="1"/>
    </row>
    <row r="21" spans="1:17" s="4" customFormat="1" ht="12.75">
      <c r="A21" s="416" t="s">
        <v>3</v>
      </c>
      <c r="B21" s="44" t="s">
        <v>62</v>
      </c>
      <c r="C21" s="44"/>
      <c r="D21" s="19"/>
      <c r="E21" s="238">
        <v>23</v>
      </c>
      <c r="F21" s="239">
        <f>415+77</f>
        <v>492</v>
      </c>
      <c r="G21" s="240"/>
      <c r="H21" s="240"/>
      <c r="I21" s="240"/>
      <c r="J21" s="240"/>
      <c r="K21" s="238">
        <f>F21+H21</f>
        <v>492</v>
      </c>
      <c r="L21" s="19"/>
      <c r="M21" s="26">
        <v>1</v>
      </c>
      <c r="N21" s="234">
        <f t="shared" si="0"/>
        <v>8.2</v>
      </c>
      <c r="O21" s="20">
        <v>35</v>
      </c>
      <c r="P21" s="234">
        <f t="shared" si="1"/>
        <v>0.23428571428571426</v>
      </c>
      <c r="Q21" s="246">
        <f t="shared" si="2"/>
        <v>1.1714285714285713</v>
      </c>
    </row>
    <row r="22" spans="1:17" s="4" customFormat="1" ht="12.75" customHeight="1">
      <c r="A22" s="417"/>
      <c r="B22" s="44" t="s">
        <v>5</v>
      </c>
      <c r="C22" s="44" t="s">
        <v>62</v>
      </c>
      <c r="D22" s="19"/>
      <c r="E22" s="238">
        <v>3</v>
      </c>
      <c r="F22" s="239">
        <f>120+36</f>
        <v>156</v>
      </c>
      <c r="G22" s="238">
        <f>5+2</f>
        <v>7</v>
      </c>
      <c r="H22" s="238">
        <f>G22*30</f>
        <v>210</v>
      </c>
      <c r="I22" s="238">
        <v>2</v>
      </c>
      <c r="J22" s="238">
        <f>I22*30</f>
        <v>60</v>
      </c>
      <c r="K22" s="238">
        <f>F22+H22+J22</f>
        <v>426</v>
      </c>
      <c r="L22" s="19"/>
      <c r="M22" s="26">
        <v>1</v>
      </c>
      <c r="N22" s="234">
        <f t="shared" si="0"/>
        <v>7.1</v>
      </c>
      <c r="O22" s="20">
        <v>35</v>
      </c>
      <c r="P22" s="234">
        <f t="shared" si="1"/>
        <v>0.20285714285714285</v>
      </c>
      <c r="Q22" s="246">
        <f t="shared" si="2"/>
        <v>1.0142857142857142</v>
      </c>
    </row>
    <row r="23" spans="1:17" s="4" customFormat="1" ht="12.75">
      <c r="A23" s="108" t="s">
        <v>22</v>
      </c>
      <c r="B23" s="44" t="s">
        <v>62</v>
      </c>
      <c r="C23" s="44"/>
      <c r="D23" s="19"/>
      <c r="E23" s="238">
        <v>7</v>
      </c>
      <c r="F23" s="239">
        <v>43</v>
      </c>
      <c r="G23" s="240"/>
      <c r="H23" s="240"/>
      <c r="I23" s="240"/>
      <c r="J23" s="240"/>
      <c r="K23" s="238">
        <f>F23+H23</f>
        <v>43</v>
      </c>
      <c r="L23" s="19"/>
      <c r="M23" s="26">
        <v>1</v>
      </c>
      <c r="N23" s="234">
        <f t="shared" si="0"/>
        <v>0.7166666666666667</v>
      </c>
      <c r="O23" s="20">
        <v>35</v>
      </c>
      <c r="P23" s="234">
        <f t="shared" si="1"/>
        <v>0.020476190476190478</v>
      </c>
      <c r="Q23" s="246">
        <f t="shared" si="2"/>
        <v>0.10238095238095239</v>
      </c>
    </row>
    <row r="24" spans="1:17" ht="12.75">
      <c r="A24" s="416" t="s">
        <v>23</v>
      </c>
      <c r="B24" s="44" t="s">
        <v>62</v>
      </c>
      <c r="C24" s="44"/>
      <c r="D24" s="19"/>
      <c r="E24" s="238">
        <f>217+61</f>
        <v>278</v>
      </c>
      <c r="F24" s="239">
        <f>5160+1176</f>
        <v>6336</v>
      </c>
      <c r="G24" s="240"/>
      <c r="H24" s="240"/>
      <c r="I24" s="240"/>
      <c r="J24" s="240"/>
      <c r="K24" s="238">
        <f>F24+H24</f>
        <v>6336</v>
      </c>
      <c r="L24" s="19"/>
      <c r="M24" s="26">
        <v>1</v>
      </c>
      <c r="N24" s="234">
        <f t="shared" si="0"/>
        <v>105.6</v>
      </c>
      <c r="O24" s="20">
        <v>35</v>
      </c>
      <c r="P24" s="234">
        <f t="shared" si="1"/>
        <v>3.017142857142857</v>
      </c>
      <c r="Q24" s="246">
        <f t="shared" si="2"/>
        <v>15.085714285714285</v>
      </c>
    </row>
    <row r="25" spans="1:17" ht="12.75">
      <c r="A25" s="401"/>
      <c r="B25" s="44"/>
      <c r="C25" s="44" t="s">
        <v>62</v>
      </c>
      <c r="D25" s="19"/>
      <c r="E25" s="238">
        <v>13</v>
      </c>
      <c r="F25" s="239">
        <f>592+105</f>
        <v>697</v>
      </c>
      <c r="G25" s="238">
        <f>23+2</f>
        <v>25</v>
      </c>
      <c r="H25" s="238">
        <f>G25*30</f>
        <v>750</v>
      </c>
      <c r="I25" s="238">
        <f>1+2</f>
        <v>3</v>
      </c>
      <c r="J25" s="238">
        <f>I25*30</f>
        <v>90</v>
      </c>
      <c r="K25" s="238">
        <f>F25+H25+J25</f>
        <v>1537</v>
      </c>
      <c r="L25" s="19"/>
      <c r="M25" s="26">
        <v>1</v>
      </c>
      <c r="N25" s="234">
        <f t="shared" si="0"/>
        <v>25.616666666666667</v>
      </c>
      <c r="O25" s="20">
        <v>35</v>
      </c>
      <c r="P25" s="234">
        <f t="shared" si="1"/>
        <v>0.731904761904762</v>
      </c>
      <c r="Q25" s="246">
        <f t="shared" si="2"/>
        <v>3.65952380952381</v>
      </c>
    </row>
    <row r="26" spans="1:18" ht="12.75">
      <c r="A26" s="108" t="s">
        <v>58</v>
      </c>
      <c r="B26" s="44"/>
      <c r="C26" s="44" t="s">
        <v>62</v>
      </c>
      <c r="D26" s="19"/>
      <c r="E26" s="238">
        <v>1</v>
      </c>
      <c r="F26" s="239">
        <v>105</v>
      </c>
      <c r="G26" s="238">
        <v>4</v>
      </c>
      <c r="H26" s="238">
        <f>G26*30</f>
        <v>120</v>
      </c>
      <c r="I26" s="238">
        <v>0</v>
      </c>
      <c r="J26" s="238">
        <f>I26*30</f>
        <v>0</v>
      </c>
      <c r="K26" s="238">
        <f>F26+H26+J26</f>
        <v>225</v>
      </c>
      <c r="L26" s="19"/>
      <c r="M26" s="26">
        <v>1</v>
      </c>
      <c r="N26" s="234">
        <f t="shared" si="0"/>
        <v>3.75</v>
      </c>
      <c r="O26" s="20">
        <v>35</v>
      </c>
      <c r="P26" s="234">
        <f t="shared" si="1"/>
        <v>0.10714285714285714</v>
      </c>
      <c r="Q26" s="246">
        <f t="shared" si="2"/>
        <v>0.5357142857142857</v>
      </c>
      <c r="R26" s="1"/>
    </row>
    <row r="27" spans="1:17" ht="12.75">
      <c r="A27" s="108" t="s">
        <v>84</v>
      </c>
      <c r="B27" s="44"/>
      <c r="C27" s="44" t="s">
        <v>62</v>
      </c>
      <c r="D27" s="19"/>
      <c r="E27" s="238">
        <v>8</v>
      </c>
      <c r="F27" s="239">
        <f>519+632</f>
        <v>1151</v>
      </c>
      <c r="G27" s="238">
        <f>13+34</f>
        <v>47</v>
      </c>
      <c r="H27" s="238">
        <f>G27*30</f>
        <v>1410</v>
      </c>
      <c r="I27" s="238">
        <f>4+3</f>
        <v>7</v>
      </c>
      <c r="J27" s="238">
        <f>I27*30</f>
        <v>210</v>
      </c>
      <c r="K27" s="238">
        <f>F27+H27+J27</f>
        <v>2771</v>
      </c>
      <c r="L27" s="19"/>
      <c r="M27" s="26">
        <v>1</v>
      </c>
      <c r="N27" s="234">
        <f t="shared" si="0"/>
        <v>46.18333333333333</v>
      </c>
      <c r="O27" s="20">
        <v>35</v>
      </c>
      <c r="P27" s="234">
        <f t="shared" si="1"/>
        <v>1.3195238095238093</v>
      </c>
      <c r="Q27" s="246">
        <f t="shared" si="2"/>
        <v>6.597619047619046</v>
      </c>
    </row>
    <row r="28" spans="1:18" ht="12.75">
      <c r="A28" s="108" t="s">
        <v>85</v>
      </c>
      <c r="B28" s="44"/>
      <c r="C28" s="44" t="s">
        <v>62</v>
      </c>
      <c r="D28" s="19"/>
      <c r="E28" s="238">
        <v>2</v>
      </c>
      <c r="F28" s="239">
        <v>162</v>
      </c>
      <c r="G28" s="238">
        <v>7</v>
      </c>
      <c r="H28" s="238">
        <f>G28*30</f>
        <v>210</v>
      </c>
      <c r="I28" s="238">
        <v>8</v>
      </c>
      <c r="J28" s="238">
        <f>I28*30</f>
        <v>240</v>
      </c>
      <c r="K28" s="238">
        <f>F28+H28+J28</f>
        <v>612</v>
      </c>
      <c r="L28" s="19"/>
      <c r="M28" s="26">
        <v>1</v>
      </c>
      <c r="N28" s="234">
        <f t="shared" si="0"/>
        <v>10.2</v>
      </c>
      <c r="O28" s="20">
        <v>35</v>
      </c>
      <c r="P28" s="234">
        <f t="shared" si="1"/>
        <v>0.2914285714285714</v>
      </c>
      <c r="Q28" s="246">
        <f t="shared" si="2"/>
        <v>1.457142857142857</v>
      </c>
      <c r="R28" s="1"/>
    </row>
    <row r="29" spans="1:17" ht="12.75">
      <c r="A29" s="108" t="s">
        <v>24</v>
      </c>
      <c r="B29" s="44" t="s">
        <v>62</v>
      </c>
      <c r="C29" s="44"/>
      <c r="D29" s="19"/>
      <c r="E29" s="238">
        <v>15</v>
      </c>
      <c r="F29" s="239">
        <f>197+71</f>
        <v>268</v>
      </c>
      <c r="G29" s="240"/>
      <c r="H29" s="240"/>
      <c r="I29" s="240"/>
      <c r="J29" s="240"/>
      <c r="K29" s="238">
        <f>F29+H29</f>
        <v>268</v>
      </c>
      <c r="L29" s="19"/>
      <c r="M29" s="26">
        <v>1</v>
      </c>
      <c r="N29" s="234">
        <f t="shared" si="0"/>
        <v>4.466666666666667</v>
      </c>
      <c r="O29" s="20">
        <v>35</v>
      </c>
      <c r="P29" s="234">
        <f t="shared" si="1"/>
        <v>0.12761904761904763</v>
      </c>
      <c r="Q29" s="246">
        <f t="shared" si="2"/>
        <v>0.6380952380952382</v>
      </c>
    </row>
    <row r="30" spans="1:17" ht="12.75">
      <c r="A30" s="108" t="s">
        <v>37</v>
      </c>
      <c r="B30" s="44"/>
      <c r="C30" s="44" t="s">
        <v>62</v>
      </c>
      <c r="D30" s="19"/>
      <c r="E30" s="238">
        <v>10</v>
      </c>
      <c r="F30" s="239">
        <f>161+180</f>
        <v>341</v>
      </c>
      <c r="G30" s="238">
        <f>16+36</f>
        <v>52</v>
      </c>
      <c r="H30" s="238">
        <f>G30*30</f>
        <v>1560</v>
      </c>
      <c r="I30" s="238">
        <f>6+15</f>
        <v>21</v>
      </c>
      <c r="J30" s="238">
        <f>I30*30</f>
        <v>630</v>
      </c>
      <c r="K30" s="238">
        <f>F30+H30+J30</f>
        <v>2531</v>
      </c>
      <c r="L30" s="19"/>
      <c r="M30" s="26">
        <v>1</v>
      </c>
      <c r="N30" s="234">
        <f t="shared" si="0"/>
        <v>42.18333333333333</v>
      </c>
      <c r="O30" s="20">
        <v>35</v>
      </c>
      <c r="P30" s="234">
        <f t="shared" si="1"/>
        <v>1.2052380952380952</v>
      </c>
      <c r="Q30" s="246">
        <f t="shared" si="2"/>
        <v>6.026190476190476</v>
      </c>
    </row>
    <row r="31" spans="1:18" ht="12.75">
      <c r="A31" s="108" t="s">
        <v>25</v>
      </c>
      <c r="B31" s="44" t="s">
        <v>62</v>
      </c>
      <c r="C31" s="44"/>
      <c r="D31" s="19"/>
      <c r="E31" s="238">
        <v>21</v>
      </c>
      <c r="F31" s="239">
        <f>83+43</f>
        <v>126</v>
      </c>
      <c r="G31" s="240"/>
      <c r="H31" s="240"/>
      <c r="I31" s="240"/>
      <c r="J31" s="240"/>
      <c r="K31" s="238">
        <f>F31+H31</f>
        <v>126</v>
      </c>
      <c r="L31" s="19"/>
      <c r="M31" s="26">
        <v>1</v>
      </c>
      <c r="N31" s="234">
        <f t="shared" si="0"/>
        <v>2.1</v>
      </c>
      <c r="O31" s="20">
        <v>35</v>
      </c>
      <c r="P31" s="234">
        <f t="shared" si="1"/>
        <v>0.060000000000000005</v>
      </c>
      <c r="Q31" s="246">
        <f t="shared" si="2"/>
        <v>0.30000000000000004</v>
      </c>
      <c r="R31" s="1"/>
    </row>
    <row r="32" spans="1:18" ht="12.75">
      <c r="A32" s="416" t="s">
        <v>26</v>
      </c>
      <c r="B32" s="44" t="s">
        <v>62</v>
      </c>
      <c r="C32" s="44" t="s">
        <v>5</v>
      </c>
      <c r="D32" s="19"/>
      <c r="E32" s="238">
        <v>143</v>
      </c>
      <c r="F32" s="239">
        <f>1533+450</f>
        <v>1983</v>
      </c>
      <c r="G32" s="240"/>
      <c r="H32" s="240"/>
      <c r="I32" s="240"/>
      <c r="J32" s="240"/>
      <c r="K32" s="238">
        <f>F32+H32</f>
        <v>1983</v>
      </c>
      <c r="L32" s="19"/>
      <c r="M32" s="26">
        <v>1</v>
      </c>
      <c r="N32" s="234">
        <f t="shared" si="0"/>
        <v>33.05</v>
      </c>
      <c r="O32" s="20">
        <v>35</v>
      </c>
      <c r="P32" s="234">
        <f t="shared" si="1"/>
        <v>0.9442857142857142</v>
      </c>
      <c r="Q32" s="246">
        <f t="shared" si="2"/>
        <v>4.721428571428571</v>
      </c>
      <c r="R32" s="1"/>
    </row>
    <row r="33" spans="1:18" ht="12.75">
      <c r="A33" s="417"/>
      <c r="B33" s="44" t="s">
        <v>5</v>
      </c>
      <c r="C33" s="44" t="s">
        <v>62</v>
      </c>
      <c r="D33" s="19"/>
      <c r="E33" s="238">
        <v>5</v>
      </c>
      <c r="F33" s="239">
        <f>316+65</f>
        <v>381</v>
      </c>
      <c r="G33" s="238">
        <f>15+1</f>
        <v>16</v>
      </c>
      <c r="H33" s="238">
        <f>G33*30</f>
        <v>480</v>
      </c>
      <c r="I33" s="238">
        <v>2</v>
      </c>
      <c r="J33" s="238">
        <f>I33*30</f>
        <v>60</v>
      </c>
      <c r="K33" s="238">
        <f>F33+H33+J33</f>
        <v>921</v>
      </c>
      <c r="L33" s="19"/>
      <c r="M33" s="26">
        <v>1</v>
      </c>
      <c r="N33" s="234">
        <f t="shared" si="0"/>
        <v>15.35</v>
      </c>
      <c r="O33" s="20">
        <v>35</v>
      </c>
      <c r="P33" s="234">
        <f t="shared" si="1"/>
        <v>0.43857142857142856</v>
      </c>
      <c r="Q33" s="246">
        <f t="shared" si="2"/>
        <v>2.1928571428571426</v>
      </c>
      <c r="R33" s="1"/>
    </row>
    <row r="34" spans="1:18" ht="12.75">
      <c r="A34" s="108" t="s">
        <v>60</v>
      </c>
      <c r="B34" s="44"/>
      <c r="C34" s="44" t="s">
        <v>62</v>
      </c>
      <c r="D34" s="19"/>
      <c r="E34" s="238">
        <v>2</v>
      </c>
      <c r="F34" s="239">
        <f>34+31</f>
        <v>65</v>
      </c>
      <c r="G34" s="238">
        <f>2+3</f>
        <v>5</v>
      </c>
      <c r="H34" s="238">
        <f>G34*30</f>
        <v>150</v>
      </c>
      <c r="I34" s="238">
        <v>1</v>
      </c>
      <c r="J34" s="238">
        <f>I34*30</f>
        <v>30</v>
      </c>
      <c r="K34" s="238">
        <f>F34+H34+J34</f>
        <v>245</v>
      </c>
      <c r="L34" s="19"/>
      <c r="M34" s="26">
        <v>1</v>
      </c>
      <c r="N34" s="234">
        <f t="shared" si="0"/>
        <v>4.083333333333333</v>
      </c>
      <c r="O34" s="20">
        <v>35</v>
      </c>
      <c r="P34" s="234">
        <f t="shared" si="1"/>
        <v>0.11666666666666665</v>
      </c>
      <c r="Q34" s="246">
        <f t="shared" si="2"/>
        <v>0.5833333333333333</v>
      </c>
      <c r="R34" s="1"/>
    </row>
    <row r="35" spans="1:18" ht="12.75">
      <c r="A35" s="108" t="s">
        <v>61</v>
      </c>
      <c r="B35" s="44"/>
      <c r="C35" s="44" t="s">
        <v>62</v>
      </c>
      <c r="D35" s="19"/>
      <c r="E35" s="238">
        <v>14</v>
      </c>
      <c r="F35" s="239">
        <f>586+286+36</f>
        <v>908</v>
      </c>
      <c r="G35" s="238">
        <f>27+14</f>
        <v>41</v>
      </c>
      <c r="H35" s="238">
        <f>G35*30</f>
        <v>1230</v>
      </c>
      <c r="I35" s="238">
        <f>18+7</f>
        <v>25</v>
      </c>
      <c r="J35" s="238">
        <f>I35*30</f>
        <v>750</v>
      </c>
      <c r="K35" s="238">
        <f>F35+H35+J35</f>
        <v>2888</v>
      </c>
      <c r="L35" s="19"/>
      <c r="M35" s="26">
        <v>1</v>
      </c>
      <c r="N35" s="234">
        <f t="shared" si="0"/>
        <v>48.13333333333333</v>
      </c>
      <c r="O35" s="20">
        <v>35</v>
      </c>
      <c r="P35" s="234">
        <f t="shared" si="1"/>
        <v>1.3752380952380951</v>
      </c>
      <c r="Q35" s="246">
        <f t="shared" si="2"/>
        <v>6.876190476190476</v>
      </c>
      <c r="R35" s="1"/>
    </row>
    <row r="36" spans="1:17" ht="12.75">
      <c r="A36" s="108" t="s">
        <v>68</v>
      </c>
      <c r="B36" s="44" t="s">
        <v>62</v>
      </c>
      <c r="C36" s="44"/>
      <c r="D36" s="19"/>
      <c r="E36" s="238">
        <v>9</v>
      </c>
      <c r="F36" s="239">
        <f>335+33</f>
        <v>368</v>
      </c>
      <c r="G36" s="240"/>
      <c r="H36" s="240"/>
      <c r="I36" s="240"/>
      <c r="J36" s="240"/>
      <c r="K36" s="238">
        <f>F36+H36</f>
        <v>368</v>
      </c>
      <c r="L36" s="19"/>
      <c r="M36" s="26">
        <v>1</v>
      </c>
      <c r="N36" s="234">
        <f t="shared" si="0"/>
        <v>6.133333333333334</v>
      </c>
      <c r="O36" s="20">
        <v>35</v>
      </c>
      <c r="P36" s="234">
        <f t="shared" si="1"/>
        <v>0.17523809523809525</v>
      </c>
      <c r="Q36" s="246">
        <f t="shared" si="2"/>
        <v>0.8761904761904762</v>
      </c>
    </row>
    <row r="37" spans="1:17" ht="12.75">
      <c r="A37" s="108" t="s">
        <v>78</v>
      </c>
      <c r="B37" s="44" t="s">
        <v>62</v>
      </c>
      <c r="C37" s="44"/>
      <c r="D37" s="19"/>
      <c r="E37" s="238">
        <f>106+28</f>
        <v>134</v>
      </c>
      <c r="F37" s="239">
        <f>1867+506</f>
        <v>2373</v>
      </c>
      <c r="G37" s="240"/>
      <c r="H37" s="240"/>
      <c r="I37" s="240"/>
      <c r="J37" s="240"/>
      <c r="K37" s="238">
        <f>F37+H37</f>
        <v>2373</v>
      </c>
      <c r="L37" s="19"/>
      <c r="M37" s="26">
        <v>1</v>
      </c>
      <c r="N37" s="234">
        <f t="shared" si="0"/>
        <v>39.55</v>
      </c>
      <c r="O37" s="20">
        <v>35</v>
      </c>
      <c r="P37" s="234">
        <f t="shared" si="1"/>
        <v>1.13</v>
      </c>
      <c r="Q37" s="246">
        <f t="shared" si="2"/>
        <v>5.6499999999999995</v>
      </c>
    </row>
    <row r="38" spans="1:17" ht="12.75">
      <c r="A38" s="416" t="s">
        <v>27</v>
      </c>
      <c r="B38" s="44" t="s">
        <v>62</v>
      </c>
      <c r="C38" s="44"/>
      <c r="D38" s="19"/>
      <c r="E38" s="238">
        <f>1012+221</f>
        <v>1233</v>
      </c>
      <c r="F38" s="239">
        <f>21005+5636</f>
        <v>26641</v>
      </c>
      <c r="G38" s="240"/>
      <c r="H38" s="240"/>
      <c r="I38" s="240"/>
      <c r="J38" s="240"/>
      <c r="K38" s="238">
        <f>F38+H38</f>
        <v>26641</v>
      </c>
      <c r="L38" s="19"/>
      <c r="M38" s="26">
        <v>1</v>
      </c>
      <c r="N38" s="234">
        <f t="shared" si="0"/>
        <v>444.01666666666665</v>
      </c>
      <c r="O38" s="20">
        <v>35</v>
      </c>
      <c r="P38" s="234">
        <f t="shared" si="1"/>
        <v>12.686190476190475</v>
      </c>
      <c r="Q38" s="246">
        <f t="shared" si="2"/>
        <v>63.43095238095238</v>
      </c>
    </row>
    <row r="39" spans="1:17" ht="13.5" thickBot="1">
      <c r="A39" s="418"/>
      <c r="B39" s="63"/>
      <c r="C39" s="64" t="s">
        <v>62</v>
      </c>
      <c r="D39" s="22"/>
      <c r="E39" s="241">
        <v>29</v>
      </c>
      <c r="F39" s="241">
        <f>1861+688</f>
        <v>2549</v>
      </c>
      <c r="G39" s="241">
        <f>39+20</f>
        <v>59</v>
      </c>
      <c r="H39" s="242">
        <f>G39*30</f>
        <v>1770</v>
      </c>
      <c r="I39" s="242">
        <f>12+5</f>
        <v>17</v>
      </c>
      <c r="J39" s="242">
        <f>I39*30</f>
        <v>510</v>
      </c>
      <c r="K39" s="242">
        <f>F39+H39+J39</f>
        <v>4829</v>
      </c>
      <c r="L39" s="22"/>
      <c r="M39" s="23">
        <v>1</v>
      </c>
      <c r="N39" s="235">
        <f t="shared" si="0"/>
        <v>80.48333333333333</v>
      </c>
      <c r="O39" s="23">
        <v>35</v>
      </c>
      <c r="P39" s="235">
        <f t="shared" si="1"/>
        <v>2.2995238095238095</v>
      </c>
      <c r="Q39" s="247">
        <f t="shared" si="2"/>
        <v>11.497619047619047</v>
      </c>
    </row>
    <row r="40" spans="1:16" ht="7.5" customHeight="1" thickBot="1">
      <c r="A40" s="3"/>
      <c r="B40" s="46"/>
      <c r="C40" s="46"/>
      <c r="D40" s="25"/>
      <c r="E40" s="243"/>
      <c r="F40" s="243"/>
      <c r="G40" s="243"/>
      <c r="H40" s="243"/>
      <c r="I40" s="243"/>
      <c r="J40" s="243"/>
      <c r="K40" s="243"/>
      <c r="L40" s="9"/>
      <c r="M40" s="9"/>
      <c r="N40" s="9"/>
      <c r="O40" s="9"/>
      <c r="P40" s="9"/>
    </row>
    <row r="41" spans="1:17" s="98" customFormat="1" ht="15.75" thickBot="1">
      <c r="A41" s="11" t="s">
        <v>1</v>
      </c>
      <c r="B41" s="94"/>
      <c r="C41" s="94"/>
      <c r="D41" s="95">
        <f>SUM(D2:D38)</f>
        <v>0</v>
      </c>
      <c r="E41" s="244">
        <f aca="true" t="shared" si="3" ref="E41:K41">SUM(E2:E39)</f>
        <v>3540</v>
      </c>
      <c r="F41" s="244">
        <f t="shared" si="3"/>
        <v>76617</v>
      </c>
      <c r="G41" s="244">
        <f t="shared" si="3"/>
        <v>530</v>
      </c>
      <c r="H41" s="244">
        <f t="shared" si="3"/>
        <v>15900</v>
      </c>
      <c r="I41" s="244">
        <f t="shared" si="3"/>
        <v>139</v>
      </c>
      <c r="J41" s="244">
        <f t="shared" si="3"/>
        <v>4170</v>
      </c>
      <c r="K41" s="244">
        <f t="shared" si="3"/>
        <v>96687</v>
      </c>
      <c r="L41" s="106"/>
      <c r="M41" s="96"/>
      <c r="N41" s="244">
        <f>SUM(N2:N40)</f>
        <v>1611.4500000000003</v>
      </c>
      <c r="O41" s="96"/>
      <c r="P41" s="260">
        <f>SUM(P2:P40)</f>
        <v>46.041428571428575</v>
      </c>
      <c r="Q41" s="245">
        <f>SUM(Q2:Q40)</f>
        <v>230.20714285714288</v>
      </c>
    </row>
    <row r="42" spans="2:3" ht="12.75">
      <c r="B42" s="13"/>
      <c r="C42" s="13"/>
    </row>
    <row r="43" spans="2:3" ht="12.75">
      <c r="B43" s="13"/>
      <c r="C43" s="13"/>
    </row>
    <row r="44" spans="2:3" ht="12.75">
      <c r="B44" s="13"/>
      <c r="C44" s="13"/>
    </row>
    <row r="45" spans="2:3" ht="12.75">
      <c r="B45" s="13"/>
      <c r="C45" s="13"/>
    </row>
    <row r="46" spans="2:3" ht="12.75">
      <c r="B46" s="13"/>
      <c r="C46" s="13"/>
    </row>
    <row r="47" spans="2:3" ht="12.75">
      <c r="B47" s="13"/>
      <c r="C47" s="13"/>
    </row>
    <row r="48" spans="1:3" ht="12.75">
      <c r="A48" t="s">
        <v>5</v>
      </c>
      <c r="B48" s="13"/>
      <c r="C48" s="13"/>
    </row>
    <row r="49" spans="2:3" ht="12.75">
      <c r="B49" s="13"/>
      <c r="C49" s="13"/>
    </row>
    <row r="50" spans="2:3" ht="12.75">
      <c r="B50" s="13"/>
      <c r="C50" s="13"/>
    </row>
    <row r="55" spans="17:22" ht="12.75">
      <c r="Q55" s="105"/>
      <c r="U55" s="105"/>
      <c r="V55" s="105"/>
    </row>
    <row r="56" spans="17:22" ht="12.75">
      <c r="Q56" s="105"/>
      <c r="U56" s="105"/>
      <c r="V56" s="105"/>
    </row>
    <row r="57" spans="17:22" ht="12.75">
      <c r="Q57" s="105"/>
      <c r="U57" s="105"/>
      <c r="V57" s="105"/>
    </row>
    <row r="58" spans="17:22" ht="12.75">
      <c r="Q58" s="105"/>
      <c r="U58" s="105"/>
      <c r="V58" s="105"/>
    </row>
  </sheetData>
  <mergeCells count="9">
    <mergeCell ref="A2:A3"/>
    <mergeCell ref="A4:A5"/>
    <mergeCell ref="A7:A8"/>
    <mergeCell ref="A9:A10"/>
    <mergeCell ref="A38:A39"/>
    <mergeCell ref="A15:A16"/>
    <mergeCell ref="A21:A22"/>
    <mergeCell ref="A24:A25"/>
    <mergeCell ref="A32:A33"/>
  </mergeCells>
  <printOptions/>
  <pageMargins left="0.2" right="0.25" top="0.62" bottom="0.53" header="0.27" footer="0.21"/>
  <pageSetup fitToHeight="1" fitToWidth="1" horizontalDpi="600" verticalDpi="600" orientation="portrait" scale="83" r:id="rId1"/>
  <headerFooter alignWithMargins="0">
    <oddHeader>&amp;C&amp;"Arial,Bold"&amp;18P2P Estimating and Assumptions</oddHeader>
    <oddFooter>&amp;L&amp;F&amp;C&amp;P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O53"/>
  <sheetViews>
    <sheetView tabSelected="1" zoomScale="75" zoomScaleNormal="75" workbookViewId="0" topLeftCell="A1">
      <pane xSplit="4" topLeftCell="E1" activePane="topRight" state="frozen"/>
      <selection pane="topLeft" activeCell="A7" sqref="A7"/>
      <selection pane="topRight" activeCell="BK28" sqref="BK28"/>
    </sheetView>
  </sheetViews>
  <sheetFormatPr defaultColWidth="9.140625" defaultRowHeight="12.75"/>
  <cols>
    <col min="1" max="1" width="33.140625" style="256" customWidth="1"/>
    <col min="2" max="2" width="8.7109375" style="314" bestFit="1" customWidth="1"/>
    <col min="3" max="3" width="6.8515625" style="6" bestFit="1" customWidth="1"/>
    <col min="4" max="4" width="8.140625" style="6" bestFit="1" customWidth="1"/>
    <col min="5" max="5" width="0.85546875" style="0" customWidth="1"/>
    <col min="6" max="23" width="3.140625" style="6" hidden="1" customWidth="1"/>
    <col min="24" max="54" width="3.140625" style="6" customWidth="1"/>
    <col min="55" max="145" width="3.140625" style="0" customWidth="1"/>
  </cols>
  <sheetData>
    <row r="1" spans="1:145" s="2" customFormat="1" ht="18.75" customHeight="1" thickBot="1">
      <c r="A1" s="434" t="s">
        <v>51</v>
      </c>
      <c r="B1" s="438" t="s">
        <v>154</v>
      </c>
      <c r="C1" s="436" t="s">
        <v>143</v>
      </c>
      <c r="D1" s="436" t="s">
        <v>148</v>
      </c>
      <c r="F1" s="423" t="s">
        <v>136</v>
      </c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3" t="s">
        <v>135</v>
      </c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5"/>
      <c r="BB1" s="426" t="s">
        <v>137</v>
      </c>
      <c r="BC1" s="427"/>
      <c r="BD1" s="427"/>
      <c r="BE1" s="427"/>
      <c r="BF1" s="427"/>
      <c r="BG1" s="427"/>
      <c r="BH1" s="427"/>
      <c r="BI1" s="427"/>
      <c r="BJ1" s="427"/>
      <c r="BK1" s="427"/>
      <c r="BL1" s="427"/>
      <c r="BM1" s="427"/>
      <c r="BN1" s="427"/>
      <c r="BO1" s="427"/>
      <c r="BP1" s="427"/>
      <c r="BQ1" s="427"/>
      <c r="BR1" s="427"/>
      <c r="BS1" s="427"/>
      <c r="BT1" s="427"/>
      <c r="BU1" s="427"/>
      <c r="BV1" s="427"/>
      <c r="BW1" s="427"/>
      <c r="BX1" s="427"/>
      <c r="BY1" s="427"/>
      <c r="BZ1" s="427"/>
      <c r="CA1" s="427"/>
      <c r="CB1" s="427"/>
      <c r="CC1" s="427"/>
      <c r="CD1" s="427"/>
      <c r="CE1" s="427"/>
      <c r="CF1" s="428"/>
      <c r="CG1" s="429" t="s">
        <v>138</v>
      </c>
      <c r="CH1" s="430"/>
      <c r="CI1" s="430"/>
      <c r="CJ1" s="430"/>
      <c r="CK1" s="430"/>
      <c r="CL1" s="430"/>
      <c r="CM1" s="430"/>
      <c r="CN1" s="430"/>
      <c r="CO1" s="430"/>
      <c r="CP1" s="430"/>
      <c r="CQ1" s="430"/>
      <c r="CR1" s="430"/>
      <c r="CS1" s="430"/>
      <c r="CT1" s="430"/>
      <c r="CU1" s="430"/>
      <c r="CV1" s="430"/>
      <c r="CW1" s="430"/>
      <c r="CX1" s="430"/>
      <c r="CY1" s="430"/>
      <c r="CZ1" s="430"/>
      <c r="DA1" s="430"/>
      <c r="DB1" s="430"/>
      <c r="DC1" s="430"/>
      <c r="DD1" s="430"/>
      <c r="DE1" s="430"/>
      <c r="DF1" s="430"/>
      <c r="DG1" s="430"/>
      <c r="DH1" s="430"/>
      <c r="DI1" s="430"/>
      <c r="DJ1" s="430"/>
      <c r="DK1" s="431"/>
      <c r="DL1" s="402" t="s">
        <v>139</v>
      </c>
      <c r="DM1" s="403"/>
      <c r="DN1" s="403"/>
      <c r="DO1" s="403"/>
      <c r="DP1" s="403"/>
      <c r="DQ1" s="403"/>
      <c r="DR1" s="403"/>
      <c r="DS1" s="403"/>
      <c r="DT1" s="403"/>
      <c r="DU1" s="403"/>
      <c r="DV1" s="403"/>
      <c r="DW1" s="403"/>
      <c r="DX1" s="403"/>
      <c r="DY1" s="403"/>
      <c r="DZ1" s="403"/>
      <c r="EA1" s="403"/>
      <c r="EB1" s="403"/>
      <c r="EC1" s="403"/>
      <c r="ED1" s="403"/>
      <c r="EE1" s="403"/>
      <c r="EF1" s="403"/>
      <c r="EG1" s="403"/>
      <c r="EH1" s="403"/>
      <c r="EI1" s="403"/>
      <c r="EJ1" s="403"/>
      <c r="EK1" s="403"/>
      <c r="EL1" s="403"/>
      <c r="EM1" s="403"/>
      <c r="EN1" s="403"/>
      <c r="EO1" s="404"/>
    </row>
    <row r="2" spans="1:145" s="105" customFormat="1" ht="12.75">
      <c r="A2" s="435"/>
      <c r="B2" s="437"/>
      <c r="C2" s="437"/>
      <c r="D2" s="437"/>
      <c r="F2" s="263">
        <v>14</v>
      </c>
      <c r="G2" s="264">
        <v>15</v>
      </c>
      <c r="H2" s="264">
        <v>16</v>
      </c>
      <c r="I2" s="264">
        <v>17</v>
      </c>
      <c r="J2" s="264">
        <v>18</v>
      </c>
      <c r="K2" s="264">
        <v>19</v>
      </c>
      <c r="L2" s="264">
        <v>20</v>
      </c>
      <c r="M2" s="264">
        <v>21</v>
      </c>
      <c r="N2" s="264">
        <v>22</v>
      </c>
      <c r="O2" s="264">
        <v>23</v>
      </c>
      <c r="P2" s="264">
        <v>24</v>
      </c>
      <c r="Q2" s="264">
        <v>25</v>
      </c>
      <c r="R2" s="264">
        <v>26</v>
      </c>
      <c r="S2" s="264">
        <v>27</v>
      </c>
      <c r="T2" s="264">
        <v>28</v>
      </c>
      <c r="U2" s="264">
        <v>29</v>
      </c>
      <c r="V2" s="264">
        <v>30</v>
      </c>
      <c r="W2" s="264">
        <v>31</v>
      </c>
      <c r="X2" s="265">
        <v>1</v>
      </c>
      <c r="Y2" s="266">
        <v>2</v>
      </c>
      <c r="Z2" s="266">
        <v>3</v>
      </c>
      <c r="AA2" s="266">
        <v>4</v>
      </c>
      <c r="AB2" s="266">
        <v>5</v>
      </c>
      <c r="AC2" s="266">
        <v>6</v>
      </c>
      <c r="AD2" s="266">
        <v>7</v>
      </c>
      <c r="AE2" s="266">
        <v>8</v>
      </c>
      <c r="AF2" s="266">
        <v>9</v>
      </c>
      <c r="AG2" s="266">
        <v>10</v>
      </c>
      <c r="AH2" s="266">
        <v>11</v>
      </c>
      <c r="AI2" s="266">
        <v>12</v>
      </c>
      <c r="AJ2" s="266">
        <v>13</v>
      </c>
      <c r="AK2" s="266">
        <v>14</v>
      </c>
      <c r="AL2" s="266">
        <v>15</v>
      </c>
      <c r="AM2" s="266">
        <v>16</v>
      </c>
      <c r="AN2" s="266">
        <v>17</v>
      </c>
      <c r="AO2" s="266">
        <v>18</v>
      </c>
      <c r="AP2" s="266">
        <v>19</v>
      </c>
      <c r="AQ2" s="266">
        <v>20</v>
      </c>
      <c r="AR2" s="266">
        <v>21</v>
      </c>
      <c r="AS2" s="266">
        <v>22</v>
      </c>
      <c r="AT2" s="266">
        <v>23</v>
      </c>
      <c r="AU2" s="266">
        <v>24</v>
      </c>
      <c r="AV2" s="266">
        <v>25</v>
      </c>
      <c r="AW2" s="266">
        <v>26</v>
      </c>
      <c r="AX2" s="266">
        <v>27</v>
      </c>
      <c r="AY2" s="266">
        <v>28</v>
      </c>
      <c r="AZ2" s="266">
        <v>29</v>
      </c>
      <c r="BA2" s="267">
        <v>30</v>
      </c>
      <c r="BB2" s="265">
        <v>1</v>
      </c>
      <c r="BC2" s="266">
        <v>2</v>
      </c>
      <c r="BD2" s="266">
        <v>3</v>
      </c>
      <c r="BE2" s="266">
        <v>4</v>
      </c>
      <c r="BF2" s="266">
        <v>5</v>
      </c>
      <c r="BG2" s="266">
        <v>6</v>
      </c>
      <c r="BH2" s="266">
        <v>7</v>
      </c>
      <c r="BI2" s="266">
        <v>8</v>
      </c>
      <c r="BJ2" s="266">
        <v>9</v>
      </c>
      <c r="BK2" s="266">
        <v>10</v>
      </c>
      <c r="BL2" s="266">
        <v>11</v>
      </c>
      <c r="BM2" s="266">
        <v>12</v>
      </c>
      <c r="BN2" s="266">
        <v>13</v>
      </c>
      <c r="BO2" s="266">
        <v>14</v>
      </c>
      <c r="BP2" s="266">
        <v>15</v>
      </c>
      <c r="BQ2" s="266">
        <v>16</v>
      </c>
      <c r="BR2" s="266">
        <v>17</v>
      </c>
      <c r="BS2" s="266">
        <v>18</v>
      </c>
      <c r="BT2" s="266">
        <v>19</v>
      </c>
      <c r="BU2" s="266">
        <v>20</v>
      </c>
      <c r="BV2" s="266">
        <v>21</v>
      </c>
      <c r="BW2" s="266">
        <v>22</v>
      </c>
      <c r="BX2" s="266">
        <v>23</v>
      </c>
      <c r="BY2" s="266">
        <v>24</v>
      </c>
      <c r="BZ2" s="266">
        <v>25</v>
      </c>
      <c r="CA2" s="266">
        <v>26</v>
      </c>
      <c r="CB2" s="266">
        <v>27</v>
      </c>
      <c r="CC2" s="266">
        <v>28</v>
      </c>
      <c r="CD2" s="266">
        <v>29</v>
      </c>
      <c r="CE2" s="266">
        <v>30</v>
      </c>
      <c r="CF2" s="268">
        <v>31</v>
      </c>
      <c r="CG2" s="265">
        <v>1</v>
      </c>
      <c r="CH2" s="269">
        <v>2</v>
      </c>
      <c r="CI2" s="266">
        <v>3</v>
      </c>
      <c r="CJ2" s="266">
        <v>4</v>
      </c>
      <c r="CK2" s="266">
        <v>5</v>
      </c>
      <c r="CL2" s="266">
        <v>6</v>
      </c>
      <c r="CM2" s="266">
        <v>7</v>
      </c>
      <c r="CN2" s="266">
        <v>8</v>
      </c>
      <c r="CO2" s="266">
        <v>9</v>
      </c>
      <c r="CP2" s="266">
        <v>10</v>
      </c>
      <c r="CQ2" s="266">
        <v>11</v>
      </c>
      <c r="CR2" s="266">
        <v>12</v>
      </c>
      <c r="CS2" s="266">
        <v>13</v>
      </c>
      <c r="CT2" s="266">
        <v>14</v>
      </c>
      <c r="CU2" s="266">
        <v>15</v>
      </c>
      <c r="CV2" s="266">
        <v>16</v>
      </c>
      <c r="CW2" s="266">
        <v>17</v>
      </c>
      <c r="CX2" s="266">
        <v>18</v>
      </c>
      <c r="CY2" s="266">
        <v>19</v>
      </c>
      <c r="CZ2" s="266">
        <v>20</v>
      </c>
      <c r="DA2" s="266">
        <v>21</v>
      </c>
      <c r="DB2" s="266">
        <v>22</v>
      </c>
      <c r="DC2" s="266">
        <v>23</v>
      </c>
      <c r="DD2" s="266">
        <v>24</v>
      </c>
      <c r="DE2" s="266">
        <v>25</v>
      </c>
      <c r="DF2" s="266">
        <v>26</v>
      </c>
      <c r="DG2" s="266">
        <v>27</v>
      </c>
      <c r="DH2" s="266">
        <v>28</v>
      </c>
      <c r="DI2" s="266">
        <v>29</v>
      </c>
      <c r="DJ2" s="266">
        <v>30</v>
      </c>
      <c r="DK2" s="268">
        <v>31</v>
      </c>
      <c r="DL2" s="265">
        <v>1</v>
      </c>
      <c r="DM2" s="266">
        <v>2</v>
      </c>
      <c r="DN2" s="266">
        <v>3</v>
      </c>
      <c r="DO2" s="266">
        <v>4</v>
      </c>
      <c r="DP2" s="266">
        <v>5</v>
      </c>
      <c r="DQ2" s="266">
        <v>6</v>
      </c>
      <c r="DR2" s="266">
        <v>7</v>
      </c>
      <c r="DS2" s="266">
        <v>8</v>
      </c>
      <c r="DT2" s="266">
        <v>9</v>
      </c>
      <c r="DU2" s="266">
        <v>10</v>
      </c>
      <c r="DV2" s="266">
        <v>11</v>
      </c>
      <c r="DW2" s="266">
        <v>12</v>
      </c>
      <c r="DX2" s="266">
        <v>13</v>
      </c>
      <c r="DY2" s="266">
        <v>14</v>
      </c>
      <c r="DZ2" s="266">
        <v>15</v>
      </c>
      <c r="EA2" s="266">
        <v>16</v>
      </c>
      <c r="EB2" s="266">
        <v>17</v>
      </c>
      <c r="EC2" s="266">
        <v>18</v>
      </c>
      <c r="ED2" s="266">
        <v>19</v>
      </c>
      <c r="EE2" s="266">
        <v>20</v>
      </c>
      <c r="EF2" s="266">
        <v>21</v>
      </c>
      <c r="EG2" s="266">
        <v>22</v>
      </c>
      <c r="EH2" s="266">
        <v>23</v>
      </c>
      <c r="EI2" s="266">
        <v>24</v>
      </c>
      <c r="EJ2" s="266">
        <v>25</v>
      </c>
      <c r="EK2" s="266">
        <v>26</v>
      </c>
      <c r="EL2" s="266">
        <v>27</v>
      </c>
      <c r="EM2" s="266">
        <v>28</v>
      </c>
      <c r="EN2" s="266">
        <v>29</v>
      </c>
      <c r="EO2" s="268">
        <v>30</v>
      </c>
    </row>
    <row r="3" spans="1:145" s="105" customFormat="1" ht="15.75" thickBot="1">
      <c r="A3" s="271" t="s">
        <v>149</v>
      </c>
      <c r="B3" s="313"/>
      <c r="C3" s="262"/>
      <c r="D3" s="262"/>
      <c r="F3" s="281" t="s">
        <v>130</v>
      </c>
      <c r="G3" s="279" t="s">
        <v>131</v>
      </c>
      <c r="H3" s="279" t="s">
        <v>132</v>
      </c>
      <c r="I3" s="279" t="s">
        <v>131</v>
      </c>
      <c r="J3" s="279" t="s">
        <v>133</v>
      </c>
      <c r="K3" s="270" t="s">
        <v>134</v>
      </c>
      <c r="L3" s="270" t="s">
        <v>134</v>
      </c>
      <c r="M3" s="279" t="s">
        <v>130</v>
      </c>
      <c r="N3" s="279" t="s">
        <v>131</v>
      </c>
      <c r="O3" s="278" t="s">
        <v>132</v>
      </c>
      <c r="P3" s="279" t="s">
        <v>131</v>
      </c>
      <c r="Q3" s="279" t="s">
        <v>133</v>
      </c>
      <c r="R3" s="270" t="s">
        <v>134</v>
      </c>
      <c r="S3" s="270" t="s">
        <v>134</v>
      </c>
      <c r="T3" s="279" t="s">
        <v>130</v>
      </c>
      <c r="U3" s="279" t="s">
        <v>131</v>
      </c>
      <c r="V3" s="279" t="s">
        <v>132</v>
      </c>
      <c r="W3" s="282" t="s">
        <v>131</v>
      </c>
      <c r="X3" s="281" t="s">
        <v>133</v>
      </c>
      <c r="Y3" s="270" t="s">
        <v>134</v>
      </c>
      <c r="Z3" s="270" t="s">
        <v>134</v>
      </c>
      <c r="AA3" s="279" t="s">
        <v>130</v>
      </c>
      <c r="AB3" s="279" t="s">
        <v>131</v>
      </c>
      <c r="AC3" s="278" t="s">
        <v>132</v>
      </c>
      <c r="AD3" s="279" t="s">
        <v>131</v>
      </c>
      <c r="AE3" s="279" t="s">
        <v>133</v>
      </c>
      <c r="AF3" s="270" t="s">
        <v>134</v>
      </c>
      <c r="AG3" s="270" t="s">
        <v>134</v>
      </c>
      <c r="AH3" s="279" t="s">
        <v>130</v>
      </c>
      <c r="AI3" s="279" t="s">
        <v>131</v>
      </c>
      <c r="AJ3" s="279" t="s">
        <v>132</v>
      </c>
      <c r="AK3" s="279" t="s">
        <v>131</v>
      </c>
      <c r="AL3" s="279" t="s">
        <v>133</v>
      </c>
      <c r="AM3" s="270" t="s">
        <v>134</v>
      </c>
      <c r="AN3" s="270" t="s">
        <v>134</v>
      </c>
      <c r="AO3" s="279" t="s">
        <v>130</v>
      </c>
      <c r="AP3" s="279" t="s">
        <v>131</v>
      </c>
      <c r="AQ3" s="278" t="s">
        <v>132</v>
      </c>
      <c r="AR3" s="279" t="s">
        <v>131</v>
      </c>
      <c r="AS3" s="279" t="s">
        <v>133</v>
      </c>
      <c r="AT3" s="270" t="s">
        <v>134</v>
      </c>
      <c r="AU3" s="270" t="s">
        <v>134</v>
      </c>
      <c r="AV3" s="279" t="s">
        <v>130</v>
      </c>
      <c r="AW3" s="279" t="s">
        <v>131</v>
      </c>
      <c r="AX3" s="279" t="s">
        <v>132</v>
      </c>
      <c r="AY3" s="279" t="s">
        <v>131</v>
      </c>
      <c r="AZ3" s="279" t="s">
        <v>133</v>
      </c>
      <c r="BA3" s="283" t="s">
        <v>134</v>
      </c>
      <c r="BB3" s="284" t="s">
        <v>134</v>
      </c>
      <c r="BC3" s="279" t="s">
        <v>130</v>
      </c>
      <c r="BD3" s="279" t="s">
        <v>131</v>
      </c>
      <c r="BE3" s="278" t="s">
        <v>132</v>
      </c>
      <c r="BF3" s="279" t="s">
        <v>131</v>
      </c>
      <c r="BG3" s="279" t="s">
        <v>133</v>
      </c>
      <c r="BH3" s="270" t="s">
        <v>134</v>
      </c>
      <c r="BI3" s="270" t="s">
        <v>134</v>
      </c>
      <c r="BJ3" s="279" t="s">
        <v>130</v>
      </c>
      <c r="BK3" s="279" t="s">
        <v>131</v>
      </c>
      <c r="BL3" s="279" t="s">
        <v>132</v>
      </c>
      <c r="BM3" s="279" t="s">
        <v>131</v>
      </c>
      <c r="BN3" s="279" t="s">
        <v>133</v>
      </c>
      <c r="BO3" s="270" t="s">
        <v>134</v>
      </c>
      <c r="BP3" s="270" t="s">
        <v>134</v>
      </c>
      <c r="BQ3" s="279" t="s">
        <v>130</v>
      </c>
      <c r="BR3" s="279" t="s">
        <v>131</v>
      </c>
      <c r="BS3" s="278" t="s">
        <v>132</v>
      </c>
      <c r="BT3" s="279" t="s">
        <v>131</v>
      </c>
      <c r="BU3" s="279" t="s">
        <v>133</v>
      </c>
      <c r="BV3" s="270" t="s">
        <v>134</v>
      </c>
      <c r="BW3" s="270" t="s">
        <v>134</v>
      </c>
      <c r="BX3" s="279" t="s">
        <v>130</v>
      </c>
      <c r="BY3" s="279" t="s">
        <v>131</v>
      </c>
      <c r="BZ3" s="279" t="s">
        <v>132</v>
      </c>
      <c r="CA3" s="279" t="s">
        <v>131</v>
      </c>
      <c r="CB3" s="279" t="s">
        <v>133</v>
      </c>
      <c r="CC3" s="270" t="s">
        <v>134</v>
      </c>
      <c r="CD3" s="270" t="s">
        <v>134</v>
      </c>
      <c r="CE3" s="279" t="s">
        <v>130</v>
      </c>
      <c r="CF3" s="285" t="s">
        <v>131</v>
      </c>
      <c r="CG3" s="280" t="s">
        <v>132</v>
      </c>
      <c r="CH3" s="286" t="s">
        <v>131</v>
      </c>
      <c r="CI3" s="279" t="s">
        <v>133</v>
      </c>
      <c r="CJ3" s="270" t="s">
        <v>134</v>
      </c>
      <c r="CK3" s="270" t="s">
        <v>134</v>
      </c>
      <c r="CL3" s="279" t="s">
        <v>130</v>
      </c>
      <c r="CM3" s="279" t="s">
        <v>131</v>
      </c>
      <c r="CN3" s="279" t="s">
        <v>132</v>
      </c>
      <c r="CO3" s="279" t="s">
        <v>131</v>
      </c>
      <c r="CP3" s="279" t="s">
        <v>133</v>
      </c>
      <c r="CQ3" s="270" t="s">
        <v>134</v>
      </c>
      <c r="CR3" s="270" t="s">
        <v>134</v>
      </c>
      <c r="CS3" s="279" t="s">
        <v>130</v>
      </c>
      <c r="CT3" s="279" t="s">
        <v>131</v>
      </c>
      <c r="CU3" s="280" t="s">
        <v>132</v>
      </c>
      <c r="CV3" s="279" t="s">
        <v>131</v>
      </c>
      <c r="CW3" s="279" t="s">
        <v>133</v>
      </c>
      <c r="CX3" s="270" t="s">
        <v>134</v>
      </c>
      <c r="CY3" s="270" t="s">
        <v>134</v>
      </c>
      <c r="CZ3" s="279" t="s">
        <v>130</v>
      </c>
      <c r="DA3" s="279" t="s">
        <v>131</v>
      </c>
      <c r="DB3" s="279" t="s">
        <v>132</v>
      </c>
      <c r="DC3" s="279" t="s">
        <v>131</v>
      </c>
      <c r="DD3" s="279" t="s">
        <v>133</v>
      </c>
      <c r="DE3" s="270" t="s">
        <v>134</v>
      </c>
      <c r="DF3" s="270" t="s">
        <v>134</v>
      </c>
      <c r="DG3" s="279" t="s">
        <v>130</v>
      </c>
      <c r="DH3" s="279" t="s">
        <v>131</v>
      </c>
      <c r="DI3" s="280" t="s">
        <v>132</v>
      </c>
      <c r="DJ3" s="279" t="s">
        <v>131</v>
      </c>
      <c r="DK3" s="285" t="s">
        <v>133</v>
      </c>
      <c r="DL3" s="284" t="s">
        <v>134</v>
      </c>
      <c r="DM3" s="270" t="s">
        <v>134</v>
      </c>
      <c r="DN3" s="279" t="s">
        <v>130</v>
      </c>
      <c r="DO3" s="279" t="s">
        <v>131</v>
      </c>
      <c r="DP3" s="279" t="s">
        <v>132</v>
      </c>
      <c r="DQ3" s="279" t="s">
        <v>131</v>
      </c>
      <c r="DR3" s="279" t="s">
        <v>133</v>
      </c>
      <c r="DS3" s="270" t="s">
        <v>134</v>
      </c>
      <c r="DT3" s="270" t="s">
        <v>134</v>
      </c>
      <c r="DU3" s="279" t="s">
        <v>130</v>
      </c>
      <c r="DV3" s="279" t="s">
        <v>131</v>
      </c>
      <c r="DW3" s="280" t="s">
        <v>132</v>
      </c>
      <c r="DX3" s="279" t="s">
        <v>131</v>
      </c>
      <c r="DY3" s="279" t="s">
        <v>133</v>
      </c>
      <c r="DZ3" s="270" t="s">
        <v>134</v>
      </c>
      <c r="EA3" s="270" t="s">
        <v>134</v>
      </c>
      <c r="EB3" s="279" t="s">
        <v>130</v>
      </c>
      <c r="EC3" s="279" t="s">
        <v>131</v>
      </c>
      <c r="ED3" s="279" t="s">
        <v>132</v>
      </c>
      <c r="EE3" s="279" t="s">
        <v>131</v>
      </c>
      <c r="EF3" s="279" t="s">
        <v>133</v>
      </c>
      <c r="EG3" s="270" t="s">
        <v>134</v>
      </c>
      <c r="EH3" s="270" t="s">
        <v>134</v>
      </c>
      <c r="EI3" s="279" t="s">
        <v>130</v>
      </c>
      <c r="EJ3" s="279" t="s">
        <v>131</v>
      </c>
      <c r="EK3" s="280" t="s">
        <v>132</v>
      </c>
      <c r="EL3" s="279" t="s">
        <v>131</v>
      </c>
      <c r="EM3" s="279" t="s">
        <v>133</v>
      </c>
      <c r="EN3" s="270" t="s">
        <v>134</v>
      </c>
      <c r="EO3" s="287" t="s">
        <v>134</v>
      </c>
    </row>
    <row r="4" spans="1:145" ht="12.75">
      <c r="A4" s="315" t="s">
        <v>16</v>
      </c>
      <c r="B4" s="340">
        <f>'P2P Estimates'!K3</f>
        <v>1322</v>
      </c>
      <c r="C4" s="341">
        <f>'P2P Estimates'!Q3</f>
        <v>3.147619047619048</v>
      </c>
      <c r="D4" s="342">
        <f>'P2P Estimates'!N3</f>
        <v>22.033333333333335</v>
      </c>
      <c r="F4" s="119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8"/>
      <c r="W4" s="252"/>
      <c r="X4" s="119"/>
      <c r="Y4" s="248"/>
      <c r="Z4" s="248"/>
      <c r="AA4" s="248"/>
      <c r="AB4" s="248"/>
      <c r="AC4" s="248"/>
      <c r="AD4" s="248"/>
      <c r="AE4" s="248"/>
      <c r="AF4" s="248"/>
      <c r="AG4" s="248"/>
      <c r="AH4" s="248"/>
      <c r="AI4" s="248"/>
      <c r="AJ4" s="248"/>
      <c r="AK4" s="248"/>
      <c r="AL4" s="248"/>
      <c r="AM4" s="248"/>
      <c r="AN4" s="248"/>
      <c r="AO4" s="248"/>
      <c r="AP4" s="248"/>
      <c r="AQ4" s="248"/>
      <c r="AR4" s="248"/>
      <c r="AS4" s="248"/>
      <c r="AT4" s="248"/>
      <c r="AU4" s="248"/>
      <c r="AV4" s="248"/>
      <c r="AW4" s="248"/>
      <c r="AX4" s="248"/>
      <c r="AY4" s="248"/>
      <c r="AZ4" s="248"/>
      <c r="BA4" s="252"/>
      <c r="BB4" s="119"/>
      <c r="BC4" s="248"/>
      <c r="BD4" s="248"/>
      <c r="BE4" s="248"/>
      <c r="BF4" s="248"/>
      <c r="BG4" s="248"/>
      <c r="BH4" s="248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19"/>
      <c r="BT4" s="319"/>
      <c r="BU4" s="319"/>
      <c r="BV4" s="319"/>
      <c r="BW4" s="319"/>
      <c r="BX4" s="304"/>
      <c r="BY4" s="304"/>
      <c r="BZ4" s="304"/>
      <c r="CA4" s="319"/>
      <c r="CB4" s="319"/>
      <c r="CC4" s="319"/>
      <c r="CD4" s="319"/>
      <c r="CE4" s="319"/>
      <c r="CF4" s="320"/>
      <c r="CG4" s="321"/>
      <c r="CH4" s="322"/>
      <c r="CI4" s="319"/>
      <c r="CJ4" s="319"/>
      <c r="CK4" s="319"/>
      <c r="CL4" s="319"/>
      <c r="CM4" s="319"/>
      <c r="CN4" s="319"/>
      <c r="CO4" s="319"/>
      <c r="CP4" s="319"/>
      <c r="CQ4" s="319"/>
      <c r="CR4" s="319"/>
      <c r="CS4" s="319"/>
      <c r="CT4" s="319"/>
      <c r="CU4" s="319"/>
      <c r="CV4" s="319"/>
      <c r="CW4" s="319"/>
      <c r="CX4" s="319"/>
      <c r="CY4" s="319"/>
      <c r="CZ4" s="319"/>
      <c r="DA4" s="319"/>
      <c r="DB4" s="319"/>
      <c r="DC4" s="319"/>
      <c r="DD4" s="319"/>
      <c r="DE4" s="319"/>
      <c r="DF4" s="319"/>
      <c r="DG4" s="319"/>
      <c r="DH4" s="319"/>
      <c r="DI4" s="319"/>
      <c r="DJ4" s="319"/>
      <c r="DK4" s="320"/>
      <c r="DL4" s="321"/>
      <c r="DM4" s="319"/>
      <c r="DN4" s="319"/>
      <c r="DO4" s="319"/>
      <c r="DP4" s="319"/>
      <c r="DQ4" s="319"/>
      <c r="DR4" s="319"/>
      <c r="DS4" s="248"/>
      <c r="DT4" s="248"/>
      <c r="DU4" s="248"/>
      <c r="DV4" s="248"/>
      <c r="DW4" s="248"/>
      <c r="DX4" s="248"/>
      <c r="DY4" s="248"/>
      <c r="DZ4" s="248"/>
      <c r="EA4" s="248"/>
      <c r="EB4" s="248"/>
      <c r="EC4" s="248"/>
      <c r="ED4" s="248"/>
      <c r="EE4" s="248"/>
      <c r="EF4" s="248"/>
      <c r="EG4" s="248"/>
      <c r="EH4" s="248"/>
      <c r="EI4" s="248"/>
      <c r="EJ4" s="248"/>
      <c r="EK4" s="248"/>
      <c r="EL4" s="248"/>
      <c r="EM4" s="248"/>
      <c r="EN4" s="248"/>
      <c r="EO4" s="121"/>
    </row>
    <row r="5" spans="1:145" ht="12.75">
      <c r="A5" s="108" t="s">
        <v>17</v>
      </c>
      <c r="B5" s="343">
        <f>'P2P Estimates'!K5</f>
        <v>694</v>
      </c>
      <c r="C5" s="344">
        <f>'P2P Estimates'!Q5</f>
        <v>1.6523809523809523</v>
      </c>
      <c r="D5" s="345">
        <f>'P2P Estimates'!N5</f>
        <v>11.566666666666666</v>
      </c>
      <c r="F5" s="119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52"/>
      <c r="X5" s="119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48"/>
      <c r="AQ5" s="248"/>
      <c r="AR5" s="248"/>
      <c r="AS5" s="248"/>
      <c r="AT5" s="248"/>
      <c r="AU5" s="248"/>
      <c r="AV5" s="248"/>
      <c r="AW5" s="248"/>
      <c r="AX5" s="248"/>
      <c r="AY5" s="248"/>
      <c r="AZ5" s="248"/>
      <c r="BA5" s="252"/>
      <c r="BB5" s="119"/>
      <c r="BC5" s="248"/>
      <c r="BD5" s="248"/>
      <c r="BE5" s="248"/>
      <c r="BF5" s="248"/>
      <c r="BG5" s="248"/>
      <c r="BH5" s="248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20"/>
      <c r="CG5" s="321"/>
      <c r="CH5" s="322"/>
      <c r="CI5" s="319"/>
      <c r="CJ5" s="319"/>
      <c r="CK5" s="319"/>
      <c r="CL5" s="319"/>
      <c r="CM5" s="319"/>
      <c r="CN5" s="319"/>
      <c r="CO5" s="319"/>
      <c r="CP5" s="319"/>
      <c r="CQ5" s="319"/>
      <c r="CR5" s="319"/>
      <c r="CS5" s="319"/>
      <c r="CT5" s="319"/>
      <c r="CU5" s="319"/>
      <c r="CV5" s="319"/>
      <c r="CW5" s="319"/>
      <c r="CX5" s="319"/>
      <c r="CY5" s="319"/>
      <c r="CZ5" s="319"/>
      <c r="DA5" s="319"/>
      <c r="DB5" s="319"/>
      <c r="DC5" s="319"/>
      <c r="DD5" s="319"/>
      <c r="DE5" s="319"/>
      <c r="DF5" s="319"/>
      <c r="DG5" s="319"/>
      <c r="DH5" s="319"/>
      <c r="DI5" s="319"/>
      <c r="DJ5" s="319"/>
      <c r="DK5" s="320"/>
      <c r="DL5" s="321"/>
      <c r="DM5" s="319"/>
      <c r="DN5" s="319"/>
      <c r="DO5" s="319"/>
      <c r="DP5" s="319"/>
      <c r="DQ5" s="319"/>
      <c r="DR5" s="319"/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121"/>
    </row>
    <row r="6" spans="1:145" ht="12.75">
      <c r="A6" s="108" t="s">
        <v>52</v>
      </c>
      <c r="B6" s="343">
        <f>'P2P Estimates'!K6</f>
        <v>3192</v>
      </c>
      <c r="C6" s="344">
        <f>'P2P Estimates'!Q6</f>
        <v>7.6</v>
      </c>
      <c r="D6" s="345">
        <f>'P2P Estimates'!N6</f>
        <v>53.2</v>
      </c>
      <c r="F6" s="119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52"/>
      <c r="X6" s="119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48"/>
      <c r="AQ6" s="248"/>
      <c r="AR6" s="248"/>
      <c r="AS6" s="248"/>
      <c r="AT6" s="248"/>
      <c r="AU6" s="248"/>
      <c r="AV6" s="248"/>
      <c r="AW6" s="248"/>
      <c r="AX6" s="248"/>
      <c r="AY6" s="248"/>
      <c r="AZ6" s="248"/>
      <c r="BA6" s="252"/>
      <c r="BB6" s="119"/>
      <c r="BC6" s="248"/>
      <c r="BD6" s="248"/>
      <c r="BE6" s="248"/>
      <c r="BF6" s="248"/>
      <c r="BG6" s="248"/>
      <c r="BH6" s="248"/>
      <c r="BI6" s="319"/>
      <c r="BJ6" s="362"/>
      <c r="BK6" s="362"/>
      <c r="BL6" s="362"/>
      <c r="BM6" s="362"/>
      <c r="BN6" s="362"/>
      <c r="BO6" s="319"/>
      <c r="BP6" s="319"/>
      <c r="BQ6" s="358"/>
      <c r="BR6" s="358"/>
      <c r="BS6" s="358"/>
      <c r="BT6" s="358"/>
      <c r="BU6" s="358"/>
      <c r="BV6" s="319"/>
      <c r="BW6" s="319"/>
      <c r="BX6" s="358"/>
      <c r="BY6" s="358"/>
      <c r="BZ6" s="358"/>
      <c r="CA6" s="363"/>
      <c r="CB6" s="319"/>
      <c r="CC6" s="319"/>
      <c r="CD6" s="319"/>
      <c r="CE6" s="319"/>
      <c r="CF6" s="320"/>
      <c r="CG6" s="321"/>
      <c r="CH6" s="322"/>
      <c r="CI6" s="319"/>
      <c r="CJ6" s="319"/>
      <c r="CK6" s="319"/>
      <c r="CL6" s="319"/>
      <c r="CM6" s="319"/>
      <c r="CN6" s="319"/>
      <c r="CO6" s="319"/>
      <c r="CP6" s="319"/>
      <c r="CQ6" s="319"/>
      <c r="CR6" s="319"/>
      <c r="CS6" s="319"/>
      <c r="CT6" s="319"/>
      <c r="CU6" s="319"/>
      <c r="CV6" s="319"/>
      <c r="CW6" s="319"/>
      <c r="CX6" s="319"/>
      <c r="CY6" s="319"/>
      <c r="CZ6" s="319"/>
      <c r="DA6" s="319"/>
      <c r="DB6" s="319"/>
      <c r="DC6" s="319"/>
      <c r="DD6" s="319"/>
      <c r="DE6" s="319"/>
      <c r="DF6" s="319"/>
      <c r="DG6" s="319"/>
      <c r="DH6" s="319"/>
      <c r="DI6" s="319"/>
      <c r="DJ6" s="319"/>
      <c r="DK6" s="320"/>
      <c r="DL6" s="321"/>
      <c r="DM6" s="319"/>
      <c r="DN6" s="319"/>
      <c r="DO6" s="319"/>
      <c r="DP6" s="319"/>
      <c r="DQ6" s="319"/>
      <c r="DR6" s="319"/>
      <c r="DS6" s="248"/>
      <c r="DT6" s="248"/>
      <c r="DU6" s="248"/>
      <c r="DV6" s="248"/>
      <c r="DW6" s="248"/>
      <c r="DX6" s="248"/>
      <c r="DY6" s="248"/>
      <c r="DZ6" s="248"/>
      <c r="EA6" s="248"/>
      <c r="EB6" s="248"/>
      <c r="EC6" s="248"/>
      <c r="ED6" s="248"/>
      <c r="EE6" s="248"/>
      <c r="EF6" s="248"/>
      <c r="EG6" s="248"/>
      <c r="EH6" s="248"/>
      <c r="EI6" s="248"/>
      <c r="EJ6" s="248"/>
      <c r="EK6" s="248"/>
      <c r="EL6" s="248"/>
      <c r="EM6" s="248"/>
      <c r="EN6" s="248"/>
      <c r="EO6" s="121"/>
    </row>
    <row r="7" spans="1:145" ht="12.75">
      <c r="A7" s="108" t="s">
        <v>18</v>
      </c>
      <c r="B7" s="343">
        <f>'P2P Estimates'!K8</f>
        <v>757</v>
      </c>
      <c r="C7" s="344">
        <f>'P2P Estimates'!Q8</f>
        <v>1.8023809523809526</v>
      </c>
      <c r="D7" s="345">
        <f>'P2P Estimates'!N8</f>
        <v>12.616666666666667</v>
      </c>
      <c r="F7" s="119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52"/>
      <c r="X7" s="119"/>
      <c r="Y7" s="248"/>
      <c r="Z7" s="248"/>
      <c r="AA7" s="248"/>
      <c r="AB7" s="248"/>
      <c r="AC7" s="248"/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52"/>
      <c r="BB7" s="119"/>
      <c r="BC7" s="248"/>
      <c r="BD7" s="248"/>
      <c r="BE7" s="248"/>
      <c r="BF7" s="248"/>
      <c r="BG7" s="248"/>
      <c r="BH7" s="248"/>
      <c r="BI7" s="319"/>
      <c r="BJ7" s="319"/>
      <c r="BK7" s="319"/>
      <c r="BL7" s="319"/>
      <c r="BM7" s="319"/>
      <c r="BN7" s="319"/>
      <c r="BO7" s="319"/>
      <c r="BP7" s="319"/>
      <c r="BQ7" s="319"/>
      <c r="BR7" s="319"/>
      <c r="BS7" s="319"/>
      <c r="BT7" s="319"/>
      <c r="BU7" s="319"/>
      <c r="BV7" s="319"/>
      <c r="BW7" s="319"/>
      <c r="BX7" s="319"/>
      <c r="BY7" s="319"/>
      <c r="BZ7" s="319"/>
      <c r="CA7" s="304"/>
      <c r="CB7" s="304"/>
      <c r="CC7" s="319"/>
      <c r="CD7" s="319"/>
      <c r="CE7" s="319"/>
      <c r="CF7" s="320"/>
      <c r="CG7" s="321"/>
      <c r="CH7" s="322"/>
      <c r="CI7" s="319"/>
      <c r="CJ7" s="319"/>
      <c r="CK7" s="319"/>
      <c r="CL7" s="319"/>
      <c r="CM7" s="319"/>
      <c r="CN7" s="319"/>
      <c r="CO7" s="319"/>
      <c r="CP7" s="319"/>
      <c r="CQ7" s="319"/>
      <c r="CR7" s="319"/>
      <c r="CS7" s="319"/>
      <c r="CT7" s="319"/>
      <c r="CU7" s="319"/>
      <c r="CV7" s="319"/>
      <c r="CW7" s="319"/>
      <c r="CX7" s="319"/>
      <c r="CY7" s="319"/>
      <c r="CZ7" s="319"/>
      <c r="DA7" s="319"/>
      <c r="DB7" s="319"/>
      <c r="DC7" s="319"/>
      <c r="DD7" s="319"/>
      <c r="DE7" s="319"/>
      <c r="DF7" s="319"/>
      <c r="DG7" s="319"/>
      <c r="DH7" s="319"/>
      <c r="DI7" s="319"/>
      <c r="DJ7" s="319"/>
      <c r="DK7" s="320"/>
      <c r="DL7" s="321"/>
      <c r="DM7" s="319"/>
      <c r="DN7" s="319"/>
      <c r="DO7" s="319"/>
      <c r="DP7" s="319"/>
      <c r="DQ7" s="319"/>
      <c r="DR7" s="319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362"/>
      <c r="EF7" s="362"/>
      <c r="EG7" s="248"/>
      <c r="EH7" s="248"/>
      <c r="EI7" s="358"/>
      <c r="EJ7" s="358"/>
      <c r="EK7" s="363"/>
      <c r="EL7" s="248"/>
      <c r="EM7" s="248"/>
      <c r="EN7" s="248"/>
      <c r="EO7" s="121"/>
    </row>
    <row r="8" spans="1:145" ht="12.75">
      <c r="A8" s="108" t="s">
        <v>19</v>
      </c>
      <c r="B8" s="343">
        <f>'P2P Estimates'!K10</f>
        <v>1165</v>
      </c>
      <c r="C8" s="344">
        <f>'P2P Estimates'!Q10</f>
        <v>2.7738095238095237</v>
      </c>
      <c r="D8" s="345">
        <f>'P2P Estimates'!N10</f>
        <v>19.416666666666668</v>
      </c>
      <c r="F8" s="119"/>
      <c r="G8" s="248"/>
      <c r="H8" s="248"/>
      <c r="I8" s="248"/>
      <c r="J8" s="248"/>
      <c r="K8" s="248"/>
      <c r="L8" s="248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52"/>
      <c r="X8" s="119"/>
      <c r="Y8" s="248"/>
      <c r="Z8" s="248"/>
      <c r="AA8" s="248"/>
      <c r="AB8" s="248"/>
      <c r="AC8" s="248"/>
      <c r="AD8" s="248"/>
      <c r="AE8" s="248"/>
      <c r="AF8" s="248"/>
      <c r="AG8" s="248"/>
      <c r="AH8" s="248"/>
      <c r="AI8" s="248"/>
      <c r="AJ8" s="248"/>
      <c r="AK8" s="248"/>
      <c r="AL8" s="248"/>
      <c r="AM8" s="248"/>
      <c r="AN8" s="248"/>
      <c r="AO8" s="248"/>
      <c r="AP8" s="248"/>
      <c r="AQ8" s="248"/>
      <c r="AR8" s="248"/>
      <c r="AS8" s="248"/>
      <c r="AT8" s="248"/>
      <c r="AU8" s="248"/>
      <c r="AV8" s="248"/>
      <c r="AW8" s="248"/>
      <c r="AX8" s="248"/>
      <c r="AY8" s="248"/>
      <c r="AZ8" s="248"/>
      <c r="BA8" s="252"/>
      <c r="BB8" s="119"/>
      <c r="BC8" s="248"/>
      <c r="BD8" s="248"/>
      <c r="BE8" s="248"/>
      <c r="BF8" s="248"/>
      <c r="BG8" s="248"/>
      <c r="BH8" s="248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19"/>
      <c r="BV8" s="319"/>
      <c r="BW8" s="319"/>
      <c r="BX8" s="304"/>
      <c r="BY8" s="304"/>
      <c r="BZ8" s="304"/>
      <c r="CA8" s="319"/>
      <c r="CB8" s="319"/>
      <c r="CC8" s="319"/>
      <c r="CD8" s="319"/>
      <c r="CE8" s="319"/>
      <c r="CF8" s="320"/>
      <c r="CG8" s="321"/>
      <c r="CH8" s="322"/>
      <c r="CI8" s="319"/>
      <c r="CJ8" s="319"/>
      <c r="CK8" s="319"/>
      <c r="CL8" s="319"/>
      <c r="CM8" s="319"/>
      <c r="CN8" s="319"/>
      <c r="CO8" s="319"/>
      <c r="CP8" s="319"/>
      <c r="CQ8" s="319"/>
      <c r="CR8" s="319"/>
      <c r="CS8" s="319"/>
      <c r="CT8" s="319"/>
      <c r="CU8" s="319"/>
      <c r="CV8" s="319"/>
      <c r="CW8" s="319"/>
      <c r="CX8" s="319"/>
      <c r="CY8" s="319"/>
      <c r="CZ8" s="319"/>
      <c r="DA8" s="319"/>
      <c r="DB8" s="319"/>
      <c r="DC8" s="319"/>
      <c r="DD8" s="319"/>
      <c r="DE8" s="319"/>
      <c r="DF8" s="319"/>
      <c r="DG8" s="319"/>
      <c r="DH8" s="319"/>
      <c r="DI8" s="319"/>
      <c r="DJ8" s="319"/>
      <c r="DK8" s="320"/>
      <c r="DL8" s="321"/>
      <c r="DM8" s="319"/>
      <c r="DN8" s="319"/>
      <c r="DO8" s="319"/>
      <c r="DP8" s="319"/>
      <c r="DQ8" s="319"/>
      <c r="DR8" s="319"/>
      <c r="DS8" s="248"/>
      <c r="DT8" s="248"/>
      <c r="DU8" s="248"/>
      <c r="DV8" s="248"/>
      <c r="DW8" s="248"/>
      <c r="DX8" s="248"/>
      <c r="DY8" s="248"/>
      <c r="DZ8" s="248"/>
      <c r="EA8" s="248"/>
      <c r="EB8" s="248"/>
      <c r="EC8" s="248"/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121"/>
    </row>
    <row r="9" spans="1:145" ht="12.75">
      <c r="A9" s="108" t="s">
        <v>53</v>
      </c>
      <c r="B9" s="343">
        <f>'P2P Estimates'!K11</f>
        <v>2561</v>
      </c>
      <c r="C9" s="344">
        <f>'P2P Estimates'!Q11</f>
        <v>6.097619047619047</v>
      </c>
      <c r="D9" s="345">
        <f>'P2P Estimates'!N11</f>
        <v>42.68333333333333</v>
      </c>
      <c r="F9" s="119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52"/>
      <c r="X9" s="119"/>
      <c r="Y9" s="248"/>
      <c r="Z9" s="248"/>
      <c r="AA9" s="248"/>
      <c r="AB9" s="248"/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8"/>
      <c r="AT9" s="248"/>
      <c r="AU9" s="248"/>
      <c r="AV9" s="248"/>
      <c r="AW9" s="248"/>
      <c r="AX9" s="248"/>
      <c r="AY9" s="248"/>
      <c r="AZ9" s="248"/>
      <c r="BA9" s="252"/>
      <c r="BB9" s="119"/>
      <c r="BC9" s="248"/>
      <c r="BD9" s="248"/>
      <c r="BE9" s="248"/>
      <c r="BF9" s="248"/>
      <c r="BG9" s="248"/>
      <c r="BH9" s="248"/>
      <c r="BI9" s="319"/>
      <c r="BJ9" s="304"/>
      <c r="BK9" s="304"/>
      <c r="BL9" s="304"/>
      <c r="BM9" s="304"/>
      <c r="BN9" s="304"/>
      <c r="BO9" s="319"/>
      <c r="BP9" s="319"/>
      <c r="BQ9" s="304"/>
      <c r="BR9" s="319"/>
      <c r="BS9" s="319"/>
      <c r="BT9" s="319"/>
      <c r="BU9" s="319"/>
      <c r="BV9" s="319"/>
      <c r="BW9" s="319"/>
      <c r="BX9" s="319"/>
      <c r="BY9" s="319"/>
      <c r="BZ9" s="319"/>
      <c r="CA9" s="319"/>
      <c r="CB9" s="319"/>
      <c r="CC9" s="319"/>
      <c r="CD9" s="319"/>
      <c r="CE9" s="319"/>
      <c r="CF9" s="320"/>
      <c r="CG9" s="321"/>
      <c r="CH9" s="322"/>
      <c r="CI9" s="319"/>
      <c r="CJ9" s="319"/>
      <c r="CK9" s="319"/>
      <c r="CL9" s="319"/>
      <c r="CM9" s="319"/>
      <c r="CN9" s="319"/>
      <c r="CO9" s="319"/>
      <c r="CP9" s="319"/>
      <c r="CQ9" s="319"/>
      <c r="CR9" s="319"/>
      <c r="CS9" s="319"/>
      <c r="CT9" s="319"/>
      <c r="CU9" s="319"/>
      <c r="CV9" s="319"/>
      <c r="CW9" s="319"/>
      <c r="CX9" s="319"/>
      <c r="CY9" s="319"/>
      <c r="CZ9" s="319"/>
      <c r="DA9" s="319"/>
      <c r="DB9" s="319"/>
      <c r="DC9" s="319"/>
      <c r="DD9" s="319"/>
      <c r="DE9" s="319"/>
      <c r="DF9" s="319"/>
      <c r="DG9" s="319"/>
      <c r="DH9" s="319"/>
      <c r="DI9" s="319"/>
      <c r="DJ9" s="319"/>
      <c r="DK9" s="320"/>
      <c r="DL9" s="321"/>
      <c r="DM9" s="319"/>
      <c r="DN9" s="319"/>
      <c r="DO9" s="319"/>
      <c r="DP9" s="319"/>
      <c r="DQ9" s="319"/>
      <c r="DR9" s="319"/>
      <c r="DS9" s="248"/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8"/>
      <c r="EN9" s="248"/>
      <c r="EO9" s="121"/>
    </row>
    <row r="10" spans="1:145" ht="12.75">
      <c r="A10" s="108" t="s">
        <v>54</v>
      </c>
      <c r="B10" s="343">
        <f>'P2P Estimates'!K12</f>
        <v>287</v>
      </c>
      <c r="C10" s="344">
        <f>'P2P Estimates'!Q12</f>
        <v>0.6833333333333333</v>
      </c>
      <c r="D10" s="345">
        <f>'P2P Estimates'!N12</f>
        <v>4.783333333333333</v>
      </c>
      <c r="F10" s="119"/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52"/>
      <c r="X10" s="119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52"/>
      <c r="BB10" s="119"/>
      <c r="BC10" s="248"/>
      <c r="BD10" s="248"/>
      <c r="BE10" s="248"/>
      <c r="BF10" s="248"/>
      <c r="BG10" s="248"/>
      <c r="BH10" s="248"/>
      <c r="BI10" s="319"/>
      <c r="BJ10" s="319"/>
      <c r="BK10" s="319"/>
      <c r="BL10" s="319"/>
      <c r="BM10" s="319"/>
      <c r="BN10" s="319"/>
      <c r="BO10" s="319"/>
      <c r="BP10" s="319"/>
      <c r="BQ10" s="319"/>
      <c r="BR10" s="319"/>
      <c r="BS10" s="319"/>
      <c r="BT10" s="319"/>
      <c r="BU10" s="304"/>
      <c r="BV10" s="319"/>
      <c r="BW10" s="319"/>
      <c r="BX10" s="319"/>
      <c r="BY10" s="319"/>
      <c r="BZ10" s="319"/>
      <c r="CA10" s="319"/>
      <c r="CB10" s="319"/>
      <c r="CC10" s="319"/>
      <c r="CD10" s="319"/>
      <c r="CE10" s="319"/>
      <c r="CF10" s="320"/>
      <c r="CG10" s="321"/>
      <c r="CH10" s="322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I10" s="319"/>
      <c r="DJ10" s="319"/>
      <c r="DK10" s="320"/>
      <c r="DL10" s="321"/>
      <c r="DM10" s="319"/>
      <c r="DN10" s="319"/>
      <c r="DO10" s="319"/>
      <c r="DP10" s="319"/>
      <c r="DQ10" s="319"/>
      <c r="DR10" s="319"/>
      <c r="DS10" s="248"/>
      <c r="DT10" s="248"/>
      <c r="DU10" s="248"/>
      <c r="DV10" s="248"/>
      <c r="DW10" s="248"/>
      <c r="DX10" s="248"/>
      <c r="DY10" s="248"/>
      <c r="DZ10" s="248"/>
      <c r="EA10" s="248"/>
      <c r="EB10" s="248"/>
      <c r="EC10" s="248"/>
      <c r="ED10" s="248"/>
      <c r="EE10" s="248"/>
      <c r="EF10" s="248"/>
      <c r="EG10" s="248"/>
      <c r="EH10" s="248"/>
      <c r="EI10" s="248"/>
      <c r="EJ10" s="248"/>
      <c r="EK10" s="248"/>
      <c r="EL10" s="248"/>
      <c r="EM10" s="248"/>
      <c r="EN10" s="248"/>
      <c r="EO10" s="121"/>
    </row>
    <row r="11" spans="1:145" ht="12.75">
      <c r="A11" s="108" t="s">
        <v>55</v>
      </c>
      <c r="B11" s="343">
        <f>'P2P Estimates'!K13</f>
        <v>391</v>
      </c>
      <c r="C11" s="344">
        <f>'P2P Estimates'!Q13</f>
        <v>0.930952380952381</v>
      </c>
      <c r="D11" s="345">
        <f>'P2P Estimates'!N13</f>
        <v>6.516666666666667</v>
      </c>
      <c r="F11" s="119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52"/>
      <c r="X11" s="119"/>
      <c r="Y11" s="248"/>
      <c r="Z11" s="248"/>
      <c r="AA11" s="248"/>
      <c r="AB11" s="248"/>
      <c r="AC11" s="248"/>
      <c r="AD11" s="248"/>
      <c r="AE11" s="248"/>
      <c r="AF11" s="248"/>
      <c r="AG11" s="248"/>
      <c r="AH11" s="248"/>
      <c r="AI11" s="248"/>
      <c r="AJ11" s="248"/>
      <c r="AK11" s="248"/>
      <c r="AL11" s="248"/>
      <c r="AM11" s="248"/>
      <c r="AN11" s="248"/>
      <c r="AO11" s="248"/>
      <c r="AP11" s="248"/>
      <c r="AQ11" s="248"/>
      <c r="AR11" s="248"/>
      <c r="AS11" s="248"/>
      <c r="AT11" s="248"/>
      <c r="AU11" s="248"/>
      <c r="AV11" s="248"/>
      <c r="AW11" s="248"/>
      <c r="AX11" s="248"/>
      <c r="AY11" s="248"/>
      <c r="AZ11" s="248"/>
      <c r="BA11" s="252"/>
      <c r="BB11" s="119"/>
      <c r="BC11" s="248"/>
      <c r="BD11" s="248"/>
      <c r="BE11" s="248"/>
      <c r="BF11" s="248"/>
      <c r="BG11" s="248"/>
      <c r="BH11" s="248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19"/>
      <c r="BT11" s="304"/>
      <c r="BU11" s="319"/>
      <c r="BV11" s="319"/>
      <c r="BW11" s="319"/>
      <c r="BX11" s="319"/>
      <c r="BY11" s="319"/>
      <c r="BZ11" s="319"/>
      <c r="CA11" s="319"/>
      <c r="CB11" s="319"/>
      <c r="CC11" s="319"/>
      <c r="CD11" s="319"/>
      <c r="CE11" s="319"/>
      <c r="CF11" s="320"/>
      <c r="CG11" s="321"/>
      <c r="CH11" s="322"/>
      <c r="CI11" s="319"/>
      <c r="CJ11" s="319"/>
      <c r="CK11" s="319"/>
      <c r="CL11" s="319"/>
      <c r="CM11" s="319"/>
      <c r="CN11" s="319"/>
      <c r="CO11" s="319"/>
      <c r="CP11" s="319"/>
      <c r="CQ11" s="319"/>
      <c r="CR11" s="319"/>
      <c r="CS11" s="319"/>
      <c r="CT11" s="319"/>
      <c r="CU11" s="319"/>
      <c r="CV11" s="319"/>
      <c r="CW11" s="319"/>
      <c r="CX11" s="319"/>
      <c r="CY11" s="319"/>
      <c r="CZ11" s="319"/>
      <c r="DA11" s="319"/>
      <c r="DB11" s="319"/>
      <c r="DC11" s="319"/>
      <c r="DD11" s="319"/>
      <c r="DE11" s="319"/>
      <c r="DF11" s="319"/>
      <c r="DG11" s="319"/>
      <c r="DH11" s="319"/>
      <c r="DI11" s="319"/>
      <c r="DJ11" s="319"/>
      <c r="DK11" s="320"/>
      <c r="DL11" s="321"/>
      <c r="DM11" s="319"/>
      <c r="DN11" s="319"/>
      <c r="DO11" s="319"/>
      <c r="DP11" s="319"/>
      <c r="DQ11" s="319"/>
      <c r="DR11" s="319"/>
      <c r="DS11" s="248"/>
      <c r="DT11" s="248"/>
      <c r="DU11" s="248"/>
      <c r="DV11" s="248"/>
      <c r="DW11" s="248"/>
      <c r="DX11" s="248"/>
      <c r="DY11" s="248"/>
      <c r="DZ11" s="248"/>
      <c r="EA11" s="248"/>
      <c r="EB11" s="248"/>
      <c r="EC11" s="248"/>
      <c r="ED11" s="248"/>
      <c r="EE11" s="248"/>
      <c r="EF11" s="248"/>
      <c r="EG11" s="248"/>
      <c r="EH11" s="248"/>
      <c r="EI11" s="248"/>
      <c r="EJ11" s="248"/>
      <c r="EK11" s="248"/>
      <c r="EL11" s="248"/>
      <c r="EM11" s="248"/>
      <c r="EN11" s="248"/>
      <c r="EO11" s="121"/>
    </row>
    <row r="12" spans="1:145" ht="13.5" customHeight="1">
      <c r="A12" s="108" t="s">
        <v>21</v>
      </c>
      <c r="B12" s="343">
        <f>'P2P Estimates'!K16</f>
        <v>1293</v>
      </c>
      <c r="C12" s="344">
        <f>'P2P Estimates'!Q16</f>
        <v>3.0785714285714287</v>
      </c>
      <c r="D12" s="345">
        <f>'P2P Estimates'!N16</f>
        <v>21.55</v>
      </c>
      <c r="F12" s="119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52"/>
      <c r="X12" s="119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8"/>
      <c r="AT12" s="248"/>
      <c r="AU12" s="248"/>
      <c r="AV12" s="248"/>
      <c r="AW12" s="248"/>
      <c r="AX12" s="248"/>
      <c r="AY12" s="248"/>
      <c r="AZ12" s="248"/>
      <c r="BA12" s="252"/>
      <c r="BB12" s="119"/>
      <c r="BC12" s="248"/>
      <c r="BD12" s="248"/>
      <c r="BE12" s="248"/>
      <c r="BF12" s="248"/>
      <c r="BG12" s="248"/>
      <c r="BH12" s="248"/>
      <c r="BI12" s="319"/>
      <c r="BJ12" s="319"/>
      <c r="BK12" s="319"/>
      <c r="BL12" s="319"/>
      <c r="BM12" s="319"/>
      <c r="BN12" s="319"/>
      <c r="BO12" s="319"/>
      <c r="BP12" s="319"/>
      <c r="BQ12" s="319"/>
      <c r="BR12" s="319"/>
      <c r="BS12" s="319"/>
      <c r="BT12" s="319"/>
      <c r="BU12" s="319"/>
      <c r="BV12" s="319"/>
      <c r="BW12" s="319"/>
      <c r="BX12" s="304"/>
      <c r="BY12" s="304"/>
      <c r="BZ12" s="304"/>
      <c r="CA12" s="304"/>
      <c r="CB12" s="319"/>
      <c r="CC12" s="319"/>
      <c r="CD12" s="319"/>
      <c r="CE12" s="319"/>
      <c r="CF12" s="320"/>
      <c r="CG12" s="321"/>
      <c r="CH12" s="322"/>
      <c r="CI12" s="319"/>
      <c r="CJ12" s="319"/>
      <c r="CK12" s="319"/>
      <c r="CL12" s="319"/>
      <c r="CM12" s="319"/>
      <c r="CN12" s="319"/>
      <c r="CO12" s="319"/>
      <c r="CP12" s="319"/>
      <c r="CQ12" s="319"/>
      <c r="CR12" s="319"/>
      <c r="CS12" s="319"/>
      <c r="CT12" s="319"/>
      <c r="CU12" s="319"/>
      <c r="CV12" s="319"/>
      <c r="CW12" s="319"/>
      <c r="CX12" s="319"/>
      <c r="CY12" s="319"/>
      <c r="CZ12" s="319"/>
      <c r="DA12" s="319"/>
      <c r="DB12" s="319"/>
      <c r="DC12" s="319"/>
      <c r="DD12" s="319"/>
      <c r="DE12" s="319"/>
      <c r="DF12" s="319"/>
      <c r="DG12" s="319"/>
      <c r="DH12" s="319"/>
      <c r="DI12" s="319"/>
      <c r="DJ12" s="319"/>
      <c r="DK12" s="320"/>
      <c r="DL12" s="321"/>
      <c r="DM12" s="319"/>
      <c r="DN12" s="319"/>
      <c r="DO12" s="319"/>
      <c r="DP12" s="319"/>
      <c r="DQ12" s="319"/>
      <c r="DR12" s="319"/>
      <c r="DS12" s="248"/>
      <c r="DT12" s="248"/>
      <c r="DU12" s="248"/>
      <c r="DV12" s="248"/>
      <c r="DW12" s="248"/>
      <c r="DX12" s="248"/>
      <c r="DY12" s="248"/>
      <c r="DZ12" s="248"/>
      <c r="EA12" s="248"/>
      <c r="EB12" s="248"/>
      <c r="EC12" s="248"/>
      <c r="ED12" s="248"/>
      <c r="EE12" s="248"/>
      <c r="EF12" s="248"/>
      <c r="EG12" s="248"/>
      <c r="EH12" s="248"/>
      <c r="EI12" s="248"/>
      <c r="EJ12" s="248"/>
      <c r="EK12" s="248"/>
      <c r="EL12" s="248"/>
      <c r="EM12" s="248"/>
      <c r="EN12" s="248"/>
      <c r="EO12" s="121"/>
    </row>
    <row r="13" spans="1:145" ht="12.75">
      <c r="A13" s="108" t="s">
        <v>56</v>
      </c>
      <c r="B13" s="343">
        <f>'P2P Estimates'!K18</f>
        <v>297</v>
      </c>
      <c r="C13" s="344">
        <f>'P2P Estimates'!Q18</f>
        <v>0.7071428571428572</v>
      </c>
      <c r="D13" s="345">
        <f>'P2P Estimates'!N18</f>
        <v>4.95</v>
      </c>
      <c r="F13" s="119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52"/>
      <c r="X13" s="119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8"/>
      <c r="AT13" s="248"/>
      <c r="AU13" s="248"/>
      <c r="AV13" s="248"/>
      <c r="AW13" s="248"/>
      <c r="AX13" s="248"/>
      <c r="AY13" s="248"/>
      <c r="AZ13" s="248"/>
      <c r="BA13" s="252"/>
      <c r="BB13" s="119"/>
      <c r="BC13" s="248"/>
      <c r="BD13" s="248"/>
      <c r="BE13" s="248"/>
      <c r="BF13" s="248"/>
      <c r="BG13" s="248"/>
      <c r="BH13" s="248"/>
      <c r="BI13" s="319"/>
      <c r="BJ13" s="319"/>
      <c r="BK13" s="319"/>
      <c r="BL13" s="319"/>
      <c r="BM13" s="319"/>
      <c r="BN13" s="319"/>
      <c r="BO13" s="319"/>
      <c r="BP13" s="319"/>
      <c r="BQ13" s="319"/>
      <c r="BR13" s="319"/>
      <c r="BS13" s="319"/>
      <c r="BT13" s="319"/>
      <c r="BU13" s="319"/>
      <c r="BV13" s="319"/>
      <c r="BW13" s="319"/>
      <c r="BX13" s="319"/>
      <c r="BY13" s="319"/>
      <c r="BZ13" s="319"/>
      <c r="CA13" s="319"/>
      <c r="CB13" s="319"/>
      <c r="CC13" s="319"/>
      <c r="CD13" s="319"/>
      <c r="CE13" s="319"/>
      <c r="CF13" s="320"/>
      <c r="CG13" s="321"/>
      <c r="CH13" s="322"/>
      <c r="CI13" s="319"/>
      <c r="CJ13" s="319"/>
      <c r="CK13" s="319"/>
      <c r="CL13" s="319"/>
      <c r="CM13" s="319"/>
      <c r="CN13" s="319"/>
      <c r="CO13" s="319"/>
      <c r="CP13" s="319"/>
      <c r="CQ13" s="319"/>
      <c r="CR13" s="319"/>
      <c r="CS13" s="319"/>
      <c r="CT13" s="319"/>
      <c r="CU13" s="319"/>
      <c r="CV13" s="319"/>
      <c r="CW13" s="319"/>
      <c r="CX13" s="319"/>
      <c r="CY13" s="319"/>
      <c r="CZ13" s="319"/>
      <c r="DA13" s="319"/>
      <c r="DB13" s="319"/>
      <c r="DC13" s="319"/>
      <c r="DD13" s="319"/>
      <c r="DE13" s="319"/>
      <c r="DF13" s="319"/>
      <c r="DG13" s="319"/>
      <c r="DH13" s="319"/>
      <c r="DI13" s="319"/>
      <c r="DJ13" s="319"/>
      <c r="DK13" s="320"/>
      <c r="DL13" s="321"/>
      <c r="DM13" s="319"/>
      <c r="DN13" s="319"/>
      <c r="DO13" s="319"/>
      <c r="DP13" s="319"/>
      <c r="DQ13" s="319"/>
      <c r="DR13" s="319"/>
      <c r="DS13" s="248"/>
      <c r="DT13" s="248"/>
      <c r="DU13" s="248"/>
      <c r="DV13" s="248"/>
      <c r="DW13" s="248"/>
      <c r="DX13" s="248"/>
      <c r="DY13" s="248"/>
      <c r="DZ13" s="248"/>
      <c r="EA13" s="248"/>
      <c r="EB13" s="248"/>
      <c r="EC13" s="248"/>
      <c r="ED13" s="248"/>
      <c r="EE13" s="248"/>
      <c r="EF13" s="248"/>
      <c r="EG13" s="248"/>
      <c r="EH13" s="248"/>
      <c r="EI13" s="248"/>
      <c r="EJ13" s="248"/>
      <c r="EK13" s="248"/>
      <c r="EL13" s="248"/>
      <c r="EM13" s="248"/>
      <c r="EN13" s="248"/>
      <c r="EO13" s="121"/>
    </row>
    <row r="14" spans="1:145" ht="12.75">
      <c r="A14" s="108" t="s">
        <v>81</v>
      </c>
      <c r="B14" s="343">
        <f>'P2P Estimates'!K19</f>
        <v>1888</v>
      </c>
      <c r="C14" s="344">
        <f>'P2P Estimates'!Q19</f>
        <v>4.495238095238095</v>
      </c>
      <c r="D14" s="345">
        <f>'P2P Estimates'!N19</f>
        <v>31.466666666666665</v>
      </c>
      <c r="F14" s="119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52"/>
      <c r="X14" s="119"/>
      <c r="Y14" s="248"/>
      <c r="Z14" s="248"/>
      <c r="AA14" s="248"/>
      <c r="AB14" s="248"/>
      <c r="AC14" s="248"/>
      <c r="AD14" s="248"/>
      <c r="AE14" s="248"/>
      <c r="AF14" s="248"/>
      <c r="AG14" s="248"/>
      <c r="AH14" s="248"/>
      <c r="AI14" s="248"/>
      <c r="AJ14" s="248"/>
      <c r="AK14" s="248"/>
      <c r="AL14" s="248"/>
      <c r="AM14" s="248"/>
      <c r="AN14" s="248"/>
      <c r="AO14" s="248"/>
      <c r="AP14" s="248"/>
      <c r="AQ14" s="248"/>
      <c r="AR14" s="248"/>
      <c r="AS14" s="248"/>
      <c r="AT14" s="248"/>
      <c r="AU14" s="248"/>
      <c r="AV14" s="248"/>
      <c r="AW14" s="248"/>
      <c r="AX14" s="248"/>
      <c r="AY14" s="248"/>
      <c r="AZ14" s="248"/>
      <c r="BA14" s="252"/>
      <c r="BB14" s="119"/>
      <c r="BC14" s="362"/>
      <c r="BD14" s="362"/>
      <c r="BE14" s="362"/>
      <c r="BF14" s="362"/>
      <c r="BG14" s="362"/>
      <c r="BH14" s="248"/>
      <c r="BI14" s="319"/>
      <c r="BJ14" s="358"/>
      <c r="BK14" s="358"/>
      <c r="BL14" s="358"/>
      <c r="BM14" s="358"/>
      <c r="BN14" s="363"/>
      <c r="BO14" s="319"/>
      <c r="BP14" s="319"/>
      <c r="BQ14" s="319"/>
      <c r="BR14" s="319"/>
      <c r="BS14" s="319"/>
      <c r="BT14" s="319"/>
      <c r="BU14" s="319"/>
      <c r="BV14" s="319"/>
      <c r="BW14" s="319"/>
      <c r="BX14" s="319"/>
      <c r="BY14" s="319"/>
      <c r="BZ14" s="319"/>
      <c r="CA14" s="319"/>
      <c r="CB14" s="319"/>
      <c r="CC14" s="319"/>
      <c r="CD14" s="319"/>
      <c r="CE14" s="319"/>
      <c r="CF14" s="320"/>
      <c r="CG14" s="321"/>
      <c r="CH14" s="322"/>
      <c r="CI14" s="319"/>
      <c r="CJ14" s="319"/>
      <c r="CK14" s="319"/>
      <c r="CL14" s="319"/>
      <c r="CM14" s="319"/>
      <c r="CN14" s="319"/>
      <c r="CO14" s="319"/>
      <c r="CP14" s="319"/>
      <c r="CQ14" s="319"/>
      <c r="CR14" s="319"/>
      <c r="CS14" s="319"/>
      <c r="CT14" s="319"/>
      <c r="CU14" s="319"/>
      <c r="CV14" s="319"/>
      <c r="CW14" s="319"/>
      <c r="CX14" s="319"/>
      <c r="CY14" s="319"/>
      <c r="CZ14" s="319"/>
      <c r="DA14" s="319"/>
      <c r="DB14" s="319"/>
      <c r="DC14" s="319"/>
      <c r="DD14" s="319"/>
      <c r="DE14" s="319"/>
      <c r="DF14" s="319"/>
      <c r="DG14" s="319"/>
      <c r="DH14" s="319"/>
      <c r="DI14" s="319"/>
      <c r="DJ14" s="319"/>
      <c r="DK14" s="320"/>
      <c r="DL14" s="321"/>
      <c r="DM14" s="319"/>
      <c r="DN14" s="319"/>
      <c r="DO14" s="319"/>
      <c r="DP14" s="319"/>
      <c r="DQ14" s="319"/>
      <c r="DR14" s="319"/>
      <c r="DS14" s="248"/>
      <c r="DT14" s="248"/>
      <c r="DU14" s="248"/>
      <c r="DV14" s="248"/>
      <c r="DW14" s="248"/>
      <c r="DX14" s="248"/>
      <c r="DY14" s="248"/>
      <c r="DZ14" s="248"/>
      <c r="EA14" s="248"/>
      <c r="EB14" s="248"/>
      <c r="EC14" s="248"/>
      <c r="ED14" s="248"/>
      <c r="EE14" s="248"/>
      <c r="EF14" s="248"/>
      <c r="EG14" s="248"/>
      <c r="EH14" s="248"/>
      <c r="EI14" s="248"/>
      <c r="EJ14" s="248"/>
      <c r="EK14" s="248"/>
      <c r="EL14" s="248"/>
      <c r="EM14" s="248"/>
      <c r="EN14" s="248"/>
      <c r="EO14" s="121"/>
    </row>
    <row r="15" spans="1:145" ht="12.75">
      <c r="A15" s="108" t="s">
        <v>57</v>
      </c>
      <c r="B15" s="343">
        <f>'P2P Estimates'!K20</f>
        <v>1031</v>
      </c>
      <c r="C15" s="344">
        <f>'P2P Estimates'!Q20</f>
        <v>2.454761904761905</v>
      </c>
      <c r="D15" s="345">
        <f>'P2P Estimates'!N20</f>
        <v>17.183333333333334</v>
      </c>
      <c r="F15" s="119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48"/>
      <c r="V15" s="248"/>
      <c r="W15" s="252"/>
      <c r="X15" s="119"/>
      <c r="Y15" s="248"/>
      <c r="Z15" s="248"/>
      <c r="AA15" s="248"/>
      <c r="AB15" s="248"/>
      <c r="AC15" s="248"/>
      <c r="AD15" s="248"/>
      <c r="AE15" s="248"/>
      <c r="AF15" s="248"/>
      <c r="AG15" s="248"/>
      <c r="AH15" s="248"/>
      <c r="AI15" s="248"/>
      <c r="AJ15" s="248"/>
      <c r="AK15" s="248"/>
      <c r="AL15" s="248"/>
      <c r="AM15" s="248"/>
      <c r="AN15" s="248"/>
      <c r="AO15" s="248"/>
      <c r="AP15" s="248"/>
      <c r="AQ15" s="248"/>
      <c r="AR15" s="248"/>
      <c r="AS15" s="248"/>
      <c r="AT15" s="248"/>
      <c r="AU15" s="248"/>
      <c r="AV15" s="248"/>
      <c r="AW15" s="248"/>
      <c r="AX15" s="248"/>
      <c r="AY15" s="248"/>
      <c r="AZ15" s="248"/>
      <c r="BA15" s="252"/>
      <c r="BB15" s="119"/>
      <c r="BC15" s="248"/>
      <c r="BD15" s="248"/>
      <c r="BE15" s="248"/>
      <c r="BF15" s="248"/>
      <c r="BG15" s="248"/>
      <c r="BH15" s="248"/>
      <c r="BI15" s="319"/>
      <c r="BJ15" s="319"/>
      <c r="BK15" s="319"/>
      <c r="BL15" s="319"/>
      <c r="BM15" s="319"/>
      <c r="BN15" s="319"/>
      <c r="BO15" s="319"/>
      <c r="BP15" s="319"/>
      <c r="BQ15" s="319"/>
      <c r="BR15" s="319"/>
      <c r="BS15" s="304"/>
      <c r="BT15" s="304"/>
      <c r="BU15" s="304"/>
      <c r="BV15" s="319"/>
      <c r="BW15" s="319"/>
      <c r="BX15" s="319"/>
      <c r="BY15" s="319"/>
      <c r="BZ15" s="319"/>
      <c r="CA15" s="319"/>
      <c r="CB15" s="319"/>
      <c r="CC15" s="319"/>
      <c r="CD15" s="319"/>
      <c r="CE15" s="319"/>
      <c r="CF15" s="320"/>
      <c r="CG15" s="321"/>
      <c r="CH15" s="322"/>
      <c r="CI15" s="319"/>
      <c r="CJ15" s="319"/>
      <c r="CK15" s="319"/>
      <c r="CL15" s="319"/>
      <c r="CM15" s="319"/>
      <c r="CN15" s="319"/>
      <c r="CO15" s="319"/>
      <c r="CP15" s="319"/>
      <c r="CQ15" s="319"/>
      <c r="CR15" s="319"/>
      <c r="CS15" s="319"/>
      <c r="CT15" s="319"/>
      <c r="CU15" s="319"/>
      <c r="CV15" s="319"/>
      <c r="CW15" s="319"/>
      <c r="CX15" s="319"/>
      <c r="CY15" s="319"/>
      <c r="CZ15" s="319"/>
      <c r="DA15" s="319"/>
      <c r="DB15" s="319"/>
      <c r="DC15" s="319"/>
      <c r="DD15" s="319"/>
      <c r="DE15" s="319"/>
      <c r="DF15" s="319"/>
      <c r="DG15" s="319"/>
      <c r="DH15" s="319"/>
      <c r="DI15" s="319"/>
      <c r="DJ15" s="319"/>
      <c r="DK15" s="320"/>
      <c r="DL15" s="321"/>
      <c r="DM15" s="319"/>
      <c r="DN15" s="319"/>
      <c r="DO15" s="319"/>
      <c r="DP15" s="319"/>
      <c r="DQ15" s="319"/>
      <c r="DR15" s="319"/>
      <c r="DS15" s="248"/>
      <c r="DT15" s="248"/>
      <c r="DU15" s="248"/>
      <c r="DV15" s="248"/>
      <c r="DW15" s="248"/>
      <c r="DX15" s="248"/>
      <c r="DY15" s="248"/>
      <c r="DZ15" s="248"/>
      <c r="EA15" s="248"/>
      <c r="EB15" s="248"/>
      <c r="EC15" s="248"/>
      <c r="ED15" s="248"/>
      <c r="EE15" s="248"/>
      <c r="EF15" s="248"/>
      <c r="EG15" s="248"/>
      <c r="EH15" s="248"/>
      <c r="EI15" s="248"/>
      <c r="EJ15" s="248"/>
      <c r="EK15" s="248"/>
      <c r="EL15" s="248"/>
      <c r="EM15" s="248"/>
      <c r="EN15" s="248"/>
      <c r="EO15" s="121"/>
    </row>
    <row r="16" spans="1:145" s="4" customFormat="1" ht="12.75">
      <c r="A16" s="108" t="s">
        <v>3</v>
      </c>
      <c r="B16" s="343">
        <f>'P2P Estimates'!K22</f>
        <v>426</v>
      </c>
      <c r="C16" s="344">
        <f>'P2P Estimates'!Q22</f>
        <v>1.0142857142857142</v>
      </c>
      <c r="D16" s="345">
        <f>'P2P Estimates'!N22</f>
        <v>7.1</v>
      </c>
      <c r="F16" s="250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53"/>
      <c r="X16" s="250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53"/>
      <c r="BB16" s="250"/>
      <c r="BC16" s="249"/>
      <c r="BD16" s="249"/>
      <c r="BE16" s="249"/>
      <c r="BF16" s="249"/>
      <c r="BG16" s="249"/>
      <c r="BH16" s="249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12"/>
      <c r="BY16" s="323"/>
      <c r="BZ16" s="323"/>
      <c r="CA16" s="323"/>
      <c r="CB16" s="323"/>
      <c r="CC16" s="323"/>
      <c r="CD16" s="323"/>
      <c r="CE16" s="323"/>
      <c r="CF16" s="324"/>
      <c r="CG16" s="325"/>
      <c r="CH16" s="326"/>
      <c r="CI16" s="323"/>
      <c r="CJ16" s="323"/>
      <c r="CK16" s="323"/>
      <c r="CL16" s="323"/>
      <c r="CM16" s="323"/>
      <c r="CN16" s="323"/>
      <c r="CO16" s="323"/>
      <c r="CP16" s="323"/>
      <c r="CQ16" s="323"/>
      <c r="CR16" s="323"/>
      <c r="CS16" s="323"/>
      <c r="CT16" s="323"/>
      <c r="CU16" s="323"/>
      <c r="CV16" s="323"/>
      <c r="CW16" s="323"/>
      <c r="CX16" s="323"/>
      <c r="CY16" s="323"/>
      <c r="CZ16" s="323"/>
      <c r="DA16" s="323"/>
      <c r="DB16" s="323"/>
      <c r="DC16" s="323"/>
      <c r="DD16" s="323"/>
      <c r="DE16" s="323"/>
      <c r="DF16" s="323"/>
      <c r="DG16" s="323"/>
      <c r="DH16" s="323"/>
      <c r="DI16" s="323"/>
      <c r="DJ16" s="323"/>
      <c r="DK16" s="324"/>
      <c r="DL16" s="325"/>
      <c r="DM16" s="323"/>
      <c r="DN16" s="323"/>
      <c r="DO16" s="323"/>
      <c r="DP16" s="323"/>
      <c r="DQ16" s="323"/>
      <c r="DR16" s="323"/>
      <c r="DS16" s="249"/>
      <c r="DT16" s="249"/>
      <c r="DU16" s="249"/>
      <c r="DV16" s="249"/>
      <c r="DW16" s="249"/>
      <c r="DX16" s="249"/>
      <c r="DY16" s="249"/>
      <c r="DZ16" s="249"/>
      <c r="EA16" s="249"/>
      <c r="EB16" s="249"/>
      <c r="EC16" s="249"/>
      <c r="ED16" s="249"/>
      <c r="EE16" s="249"/>
      <c r="EF16" s="249"/>
      <c r="EG16" s="249"/>
      <c r="EH16" s="249"/>
      <c r="EI16" s="249"/>
      <c r="EJ16" s="249"/>
      <c r="EK16" s="249"/>
      <c r="EL16" s="249"/>
      <c r="EM16" s="249"/>
      <c r="EN16" s="249"/>
      <c r="EO16" s="251"/>
    </row>
    <row r="17" spans="1:145" ht="12.75">
      <c r="A17" s="108" t="s">
        <v>23</v>
      </c>
      <c r="B17" s="343">
        <f>'P2P Estimates'!K25</f>
        <v>1537</v>
      </c>
      <c r="C17" s="344">
        <f>'P2P Estimates'!Q25</f>
        <v>3.65952380952381</v>
      </c>
      <c r="D17" s="345">
        <f>'P2P Estimates'!N25</f>
        <v>25.616666666666667</v>
      </c>
      <c r="F17" s="119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52"/>
      <c r="X17" s="119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52"/>
      <c r="BB17" s="119"/>
      <c r="BC17" s="248"/>
      <c r="BD17" s="248"/>
      <c r="BE17" s="248"/>
      <c r="BF17" s="248"/>
      <c r="BG17" s="248"/>
      <c r="BH17" s="248"/>
      <c r="BI17" s="319"/>
      <c r="BJ17" s="319"/>
      <c r="BK17" s="319"/>
      <c r="BL17" s="319"/>
      <c r="BM17" s="319"/>
      <c r="BN17" s="319"/>
      <c r="BO17" s="319"/>
      <c r="BP17" s="319"/>
      <c r="BQ17" s="319"/>
      <c r="BR17" s="304"/>
      <c r="BS17" s="304"/>
      <c r="BT17" s="304"/>
      <c r="BU17" s="304"/>
      <c r="BV17" s="319"/>
      <c r="BW17" s="319"/>
      <c r="BX17" s="319"/>
      <c r="BY17" s="319"/>
      <c r="BZ17" s="319"/>
      <c r="CA17" s="319"/>
      <c r="CB17" s="319"/>
      <c r="CC17" s="319"/>
      <c r="CD17" s="319"/>
      <c r="CE17" s="319"/>
      <c r="CF17" s="320"/>
      <c r="CG17" s="321"/>
      <c r="CH17" s="322"/>
      <c r="CI17" s="319"/>
      <c r="CJ17" s="319"/>
      <c r="CK17" s="319"/>
      <c r="CL17" s="319"/>
      <c r="CM17" s="319"/>
      <c r="CN17" s="319"/>
      <c r="CO17" s="319"/>
      <c r="CP17" s="319"/>
      <c r="CQ17" s="319"/>
      <c r="CR17" s="319"/>
      <c r="CS17" s="319"/>
      <c r="CT17" s="319"/>
      <c r="CU17" s="319"/>
      <c r="CV17" s="319"/>
      <c r="CW17" s="319"/>
      <c r="CX17" s="319"/>
      <c r="CY17" s="319"/>
      <c r="CZ17" s="319"/>
      <c r="DA17" s="319"/>
      <c r="DB17" s="319"/>
      <c r="DC17" s="319"/>
      <c r="DD17" s="319"/>
      <c r="DE17" s="319"/>
      <c r="DF17" s="319"/>
      <c r="DG17" s="319"/>
      <c r="DH17" s="319"/>
      <c r="DI17" s="319"/>
      <c r="DJ17" s="319"/>
      <c r="DK17" s="320"/>
      <c r="DL17" s="321"/>
      <c r="DM17" s="319"/>
      <c r="DN17" s="319"/>
      <c r="DO17" s="319"/>
      <c r="DP17" s="319"/>
      <c r="DQ17" s="319"/>
      <c r="DR17" s="319"/>
      <c r="DS17" s="248"/>
      <c r="DT17" s="248"/>
      <c r="DU17" s="248"/>
      <c r="DV17" s="248"/>
      <c r="DW17" s="248"/>
      <c r="DX17" s="248"/>
      <c r="DY17" s="248"/>
      <c r="DZ17" s="248"/>
      <c r="EA17" s="248"/>
      <c r="EB17" s="248"/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121"/>
    </row>
    <row r="18" spans="1:145" ht="12.75">
      <c r="A18" s="108" t="s">
        <v>58</v>
      </c>
      <c r="B18" s="343">
        <f>'P2P Estimates'!K26</f>
        <v>225</v>
      </c>
      <c r="C18" s="344">
        <f>'P2P Estimates'!Q26</f>
        <v>0.5357142857142857</v>
      </c>
      <c r="D18" s="345">
        <f>'P2P Estimates'!N26</f>
        <v>3.75</v>
      </c>
      <c r="F18" s="119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52"/>
      <c r="X18" s="119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52"/>
      <c r="BB18" s="119"/>
      <c r="BC18" s="248"/>
      <c r="BD18" s="248"/>
      <c r="BE18" s="248"/>
      <c r="BF18" s="248"/>
      <c r="BG18" s="248"/>
      <c r="BH18" s="248"/>
      <c r="BI18" s="319"/>
      <c r="BJ18" s="319"/>
      <c r="BK18" s="319"/>
      <c r="BL18" s="319"/>
      <c r="BM18" s="319"/>
      <c r="BN18" s="319"/>
      <c r="BO18" s="319"/>
      <c r="BP18" s="319"/>
      <c r="BQ18" s="319"/>
      <c r="BR18" s="319"/>
      <c r="BS18" s="319"/>
      <c r="BT18" s="319"/>
      <c r="BU18" s="319"/>
      <c r="BV18" s="319"/>
      <c r="BW18" s="319"/>
      <c r="BX18" s="319"/>
      <c r="BY18" s="304"/>
      <c r="BZ18" s="319"/>
      <c r="CA18" s="319"/>
      <c r="CB18" s="319"/>
      <c r="CC18" s="319"/>
      <c r="CD18" s="319"/>
      <c r="CE18" s="319"/>
      <c r="CF18" s="320"/>
      <c r="CG18" s="321"/>
      <c r="CH18" s="322"/>
      <c r="CI18" s="319"/>
      <c r="CJ18" s="319"/>
      <c r="CK18" s="319"/>
      <c r="CL18" s="319"/>
      <c r="CM18" s="319"/>
      <c r="CN18" s="319"/>
      <c r="CO18" s="319"/>
      <c r="CP18" s="319"/>
      <c r="CQ18" s="319"/>
      <c r="CR18" s="319"/>
      <c r="CS18" s="319"/>
      <c r="CT18" s="319"/>
      <c r="CU18" s="319"/>
      <c r="CV18" s="319"/>
      <c r="CW18" s="319"/>
      <c r="CX18" s="319"/>
      <c r="CY18" s="319"/>
      <c r="CZ18" s="319"/>
      <c r="DA18" s="319"/>
      <c r="DB18" s="319"/>
      <c r="DC18" s="319"/>
      <c r="DD18" s="319"/>
      <c r="DE18" s="319"/>
      <c r="DF18" s="319"/>
      <c r="DG18" s="319"/>
      <c r="DH18" s="319"/>
      <c r="DI18" s="319"/>
      <c r="DJ18" s="319"/>
      <c r="DK18" s="320"/>
      <c r="DL18" s="321"/>
      <c r="DM18" s="319"/>
      <c r="DN18" s="319"/>
      <c r="DO18" s="319"/>
      <c r="DP18" s="319"/>
      <c r="DQ18" s="319"/>
      <c r="DR18" s="319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121"/>
    </row>
    <row r="19" spans="1:145" ht="12.75">
      <c r="A19" s="108" t="s">
        <v>84</v>
      </c>
      <c r="B19" s="343">
        <f>'P2P Estimates'!K27</f>
        <v>2771</v>
      </c>
      <c r="C19" s="344">
        <f>'P2P Estimates'!Q27</f>
        <v>6.597619047619046</v>
      </c>
      <c r="D19" s="345">
        <f>'P2P Estimates'!N27</f>
        <v>46.18333333333333</v>
      </c>
      <c r="F19" s="119"/>
      <c r="G19" s="248"/>
      <c r="H19" s="248"/>
      <c r="I19" s="248"/>
      <c r="J19" s="248"/>
      <c r="K19" s="248"/>
      <c r="L19" s="248"/>
      <c r="M19" s="248"/>
      <c r="N19" s="248"/>
      <c r="O19" s="248"/>
      <c r="P19" s="248"/>
      <c r="Q19" s="248"/>
      <c r="R19" s="248"/>
      <c r="S19" s="248"/>
      <c r="T19" s="248"/>
      <c r="U19" s="248"/>
      <c r="V19" s="248"/>
      <c r="W19" s="252"/>
      <c r="X19" s="119"/>
      <c r="Y19" s="248"/>
      <c r="Z19" s="248"/>
      <c r="AA19" s="248"/>
      <c r="AB19" s="248"/>
      <c r="AC19" s="248"/>
      <c r="AD19" s="248"/>
      <c r="AE19" s="248"/>
      <c r="AF19" s="248"/>
      <c r="AG19" s="248"/>
      <c r="AH19" s="248"/>
      <c r="AI19" s="248"/>
      <c r="AJ19" s="248"/>
      <c r="AK19" s="248"/>
      <c r="AL19" s="248"/>
      <c r="AM19" s="248"/>
      <c r="AN19" s="248"/>
      <c r="AO19" s="362"/>
      <c r="AP19" s="362"/>
      <c r="AQ19" s="362"/>
      <c r="AR19" s="362"/>
      <c r="AS19" s="362"/>
      <c r="AT19" s="248"/>
      <c r="AU19" s="248"/>
      <c r="AV19" s="358"/>
      <c r="AW19" s="358"/>
      <c r="AX19" s="358"/>
      <c r="AY19" s="358"/>
      <c r="AZ19" s="358"/>
      <c r="BA19" s="317"/>
      <c r="BB19" s="318"/>
      <c r="BC19" s="358"/>
      <c r="BD19" s="363"/>
      <c r="BE19" s="296"/>
      <c r="BF19" s="296"/>
      <c r="BG19" s="296"/>
      <c r="BH19" s="248"/>
      <c r="BI19" s="319"/>
      <c r="BJ19" s="319"/>
      <c r="BK19" s="319"/>
      <c r="BL19" s="319"/>
      <c r="BM19" s="319"/>
      <c r="BN19" s="319"/>
      <c r="BO19" s="319"/>
      <c r="BP19" s="319"/>
      <c r="BQ19" s="319"/>
      <c r="BR19" s="319"/>
      <c r="BS19" s="319"/>
      <c r="BT19" s="319"/>
      <c r="BU19" s="319"/>
      <c r="BV19" s="319"/>
      <c r="BW19" s="319"/>
      <c r="BX19" s="319"/>
      <c r="BY19" s="319"/>
      <c r="BZ19" s="319"/>
      <c r="CA19" s="319"/>
      <c r="CB19" s="319"/>
      <c r="CC19" s="319"/>
      <c r="CD19" s="319"/>
      <c r="CE19" s="319"/>
      <c r="CF19" s="320"/>
      <c r="CG19" s="321"/>
      <c r="CH19" s="322"/>
      <c r="CI19" s="319"/>
      <c r="CJ19" s="319"/>
      <c r="CK19" s="319"/>
      <c r="CL19" s="319"/>
      <c r="CM19" s="319"/>
      <c r="CN19" s="319"/>
      <c r="CO19" s="319"/>
      <c r="CP19" s="319"/>
      <c r="CQ19" s="319"/>
      <c r="CR19" s="319"/>
      <c r="CS19" s="319"/>
      <c r="CT19" s="319"/>
      <c r="CU19" s="319"/>
      <c r="CV19" s="319"/>
      <c r="CW19" s="319"/>
      <c r="CX19" s="319"/>
      <c r="CY19" s="319"/>
      <c r="CZ19" s="319"/>
      <c r="DA19" s="319"/>
      <c r="DB19" s="319"/>
      <c r="DC19" s="319"/>
      <c r="DD19" s="319"/>
      <c r="DE19" s="319"/>
      <c r="DF19" s="319"/>
      <c r="DG19" s="319"/>
      <c r="DH19" s="319"/>
      <c r="DI19" s="319"/>
      <c r="DJ19" s="319"/>
      <c r="DK19" s="320"/>
      <c r="DL19" s="321"/>
      <c r="DM19" s="319"/>
      <c r="DN19" s="319"/>
      <c r="DO19" s="319"/>
      <c r="DP19" s="319"/>
      <c r="DQ19" s="319"/>
      <c r="DR19" s="319"/>
      <c r="DS19" s="248"/>
      <c r="DT19" s="248"/>
      <c r="DU19" s="248"/>
      <c r="DV19" s="248"/>
      <c r="DW19" s="248"/>
      <c r="DX19" s="248"/>
      <c r="DY19" s="248"/>
      <c r="DZ19" s="248"/>
      <c r="EA19" s="248"/>
      <c r="EB19" s="248"/>
      <c r="EC19" s="248"/>
      <c r="ED19" s="248"/>
      <c r="EE19" s="248"/>
      <c r="EF19" s="248"/>
      <c r="EG19" s="248"/>
      <c r="EH19" s="248"/>
      <c r="EI19" s="248"/>
      <c r="EJ19" s="248"/>
      <c r="EK19" s="248"/>
      <c r="EL19" s="248"/>
      <c r="EM19" s="248"/>
      <c r="EN19" s="248"/>
      <c r="EO19" s="121"/>
    </row>
    <row r="20" spans="1:145" ht="12.75">
      <c r="A20" s="108" t="s">
        <v>85</v>
      </c>
      <c r="B20" s="343">
        <f>'P2P Estimates'!K28</f>
        <v>612</v>
      </c>
      <c r="C20" s="344">
        <f>'P2P Estimates'!Q28</f>
        <v>1.457142857142857</v>
      </c>
      <c r="D20" s="345">
        <f>'P2P Estimates'!N28</f>
        <v>10.2</v>
      </c>
      <c r="F20" s="119"/>
      <c r="G20" s="248"/>
      <c r="H20" s="248"/>
      <c r="I20" s="248"/>
      <c r="J20" s="248"/>
      <c r="K20" s="248"/>
      <c r="L20" s="248"/>
      <c r="M20" s="248"/>
      <c r="N20" s="248"/>
      <c r="O20" s="248"/>
      <c r="P20" s="248"/>
      <c r="Q20" s="248"/>
      <c r="R20" s="248"/>
      <c r="S20" s="248"/>
      <c r="T20" s="248"/>
      <c r="U20" s="248"/>
      <c r="V20" s="248"/>
      <c r="W20" s="252"/>
      <c r="X20" s="119"/>
      <c r="Y20" s="248"/>
      <c r="Z20" s="248"/>
      <c r="AA20" s="248"/>
      <c r="AB20" s="248"/>
      <c r="AC20" s="248"/>
      <c r="AD20" s="248"/>
      <c r="AE20" s="248"/>
      <c r="AF20" s="248"/>
      <c r="AG20" s="248"/>
      <c r="AH20" s="248"/>
      <c r="AI20" s="248"/>
      <c r="AJ20" s="248"/>
      <c r="AK20" s="248"/>
      <c r="AL20" s="248"/>
      <c r="AM20" s="248"/>
      <c r="AN20" s="248"/>
      <c r="AO20" s="248"/>
      <c r="AP20" s="248"/>
      <c r="AQ20" s="248"/>
      <c r="AR20" s="248"/>
      <c r="AS20" s="248"/>
      <c r="AT20" s="248"/>
      <c r="AU20" s="248"/>
      <c r="AV20" s="248"/>
      <c r="AW20" s="248"/>
      <c r="AX20" s="248"/>
      <c r="AY20" s="248"/>
      <c r="AZ20" s="248"/>
      <c r="BA20" s="252"/>
      <c r="BB20" s="119"/>
      <c r="BC20" s="248"/>
      <c r="BD20" s="296"/>
      <c r="BE20" s="296"/>
      <c r="BF20" s="296"/>
      <c r="BG20" s="296"/>
      <c r="BH20" s="248"/>
      <c r="BI20" s="319"/>
      <c r="BJ20" s="319"/>
      <c r="BK20" s="319"/>
      <c r="BL20" s="319"/>
      <c r="BM20" s="319"/>
      <c r="BN20" s="319"/>
      <c r="BO20" s="319"/>
      <c r="BP20" s="319"/>
      <c r="BQ20" s="319"/>
      <c r="BR20" s="319"/>
      <c r="BS20" s="319"/>
      <c r="BT20" s="319"/>
      <c r="BU20" s="319"/>
      <c r="BV20" s="319"/>
      <c r="BW20" s="319"/>
      <c r="BX20" s="319"/>
      <c r="BY20" s="319"/>
      <c r="BZ20" s="304"/>
      <c r="CA20" s="304"/>
      <c r="CB20" s="319"/>
      <c r="CC20" s="319"/>
      <c r="CD20" s="319"/>
      <c r="CE20" s="319"/>
      <c r="CF20" s="320"/>
      <c r="CG20" s="321"/>
      <c r="CH20" s="322"/>
      <c r="CI20" s="319"/>
      <c r="CJ20" s="319"/>
      <c r="CK20" s="319"/>
      <c r="CL20" s="319"/>
      <c r="CM20" s="319"/>
      <c r="CN20" s="319"/>
      <c r="CO20" s="319"/>
      <c r="CP20" s="319"/>
      <c r="CQ20" s="319"/>
      <c r="CR20" s="319"/>
      <c r="CS20" s="319"/>
      <c r="CT20" s="319"/>
      <c r="CU20" s="319"/>
      <c r="CV20" s="319"/>
      <c r="CW20" s="319"/>
      <c r="CX20" s="319"/>
      <c r="CY20" s="319"/>
      <c r="CZ20" s="319"/>
      <c r="DA20" s="319"/>
      <c r="DB20" s="319"/>
      <c r="DC20" s="319"/>
      <c r="DD20" s="319"/>
      <c r="DE20" s="319"/>
      <c r="DF20" s="319"/>
      <c r="DG20" s="319"/>
      <c r="DH20" s="319"/>
      <c r="DI20" s="319"/>
      <c r="DJ20" s="319"/>
      <c r="DK20" s="320"/>
      <c r="DL20" s="321"/>
      <c r="DM20" s="319"/>
      <c r="DN20" s="319"/>
      <c r="DO20" s="319"/>
      <c r="DP20" s="319"/>
      <c r="DQ20" s="319"/>
      <c r="DR20" s="319"/>
      <c r="DS20" s="248"/>
      <c r="DT20" s="248"/>
      <c r="DU20" s="248"/>
      <c r="DV20" s="248"/>
      <c r="DW20" s="248"/>
      <c r="DX20" s="248"/>
      <c r="DY20" s="248"/>
      <c r="DZ20" s="248"/>
      <c r="EA20" s="248"/>
      <c r="EB20" s="248"/>
      <c r="EC20" s="248"/>
      <c r="ED20" s="248"/>
      <c r="EE20" s="248"/>
      <c r="EF20" s="248"/>
      <c r="EG20" s="248"/>
      <c r="EH20" s="248"/>
      <c r="EI20" s="248"/>
      <c r="EJ20" s="248"/>
      <c r="EK20" s="248"/>
      <c r="EL20" s="248"/>
      <c r="EM20" s="248"/>
      <c r="EN20" s="248"/>
      <c r="EO20" s="121"/>
    </row>
    <row r="21" spans="1:145" ht="12.75">
      <c r="A21" s="108" t="s">
        <v>37</v>
      </c>
      <c r="B21" s="343">
        <f>'P2P Estimates'!K30</f>
        <v>2531</v>
      </c>
      <c r="C21" s="344">
        <f>'P2P Estimates'!Q30</f>
        <v>6.026190476190476</v>
      </c>
      <c r="D21" s="345">
        <f>'P2P Estimates'!N30</f>
        <v>42.18333333333333</v>
      </c>
      <c r="F21" s="119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52"/>
      <c r="X21" s="119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/>
      <c r="AK21" s="248"/>
      <c r="AL21" s="248"/>
      <c r="AM21" s="248"/>
      <c r="AN21" s="248"/>
      <c r="AO21" s="248"/>
      <c r="AP21" s="248"/>
      <c r="AQ21" s="248"/>
      <c r="AR21" s="248"/>
      <c r="AS21" s="248"/>
      <c r="AT21" s="248"/>
      <c r="AU21" s="248"/>
      <c r="AV21" s="296"/>
      <c r="AW21" s="296"/>
      <c r="AX21" s="296"/>
      <c r="AY21" s="296"/>
      <c r="AZ21" s="296"/>
      <c r="BA21" s="317"/>
      <c r="BB21" s="318"/>
      <c r="BC21" s="296"/>
      <c r="BD21" s="296"/>
      <c r="BE21" s="296"/>
      <c r="BF21" s="296"/>
      <c r="BG21" s="296"/>
      <c r="BH21" s="248"/>
      <c r="BI21" s="319"/>
      <c r="BJ21" s="319"/>
      <c r="BK21" s="319"/>
      <c r="BL21" s="319"/>
      <c r="BM21" s="319"/>
      <c r="BN21" s="319"/>
      <c r="BO21" s="319"/>
      <c r="BP21" s="319"/>
      <c r="BQ21" s="362"/>
      <c r="BR21" s="362"/>
      <c r="BS21" s="362"/>
      <c r="BT21" s="362"/>
      <c r="BU21" s="362"/>
      <c r="BV21" s="319"/>
      <c r="BW21" s="319"/>
      <c r="BX21" s="358"/>
      <c r="BY21" s="358"/>
      <c r="BZ21" s="358"/>
      <c r="CA21" s="358"/>
      <c r="CB21" s="363"/>
      <c r="CC21" s="319"/>
      <c r="CD21" s="319"/>
      <c r="CE21" s="319"/>
      <c r="CF21" s="320"/>
      <c r="CG21" s="321"/>
      <c r="CH21" s="322"/>
      <c r="CI21" s="319"/>
      <c r="CJ21" s="319"/>
      <c r="CK21" s="319"/>
      <c r="CL21" s="319"/>
      <c r="CM21" s="319"/>
      <c r="CN21" s="319"/>
      <c r="CO21" s="319"/>
      <c r="CP21" s="319"/>
      <c r="CQ21" s="319"/>
      <c r="CR21" s="319"/>
      <c r="CS21" s="319"/>
      <c r="CT21" s="319"/>
      <c r="CU21" s="319"/>
      <c r="CV21" s="319"/>
      <c r="CW21" s="319"/>
      <c r="CX21" s="319"/>
      <c r="CY21" s="319"/>
      <c r="CZ21" s="319"/>
      <c r="DA21" s="319"/>
      <c r="DB21" s="319"/>
      <c r="DC21" s="319"/>
      <c r="DD21" s="319"/>
      <c r="DE21" s="319"/>
      <c r="DF21" s="319"/>
      <c r="DG21" s="319"/>
      <c r="DH21" s="319"/>
      <c r="DI21" s="319"/>
      <c r="DJ21" s="319"/>
      <c r="DK21" s="320"/>
      <c r="DL21" s="321"/>
      <c r="DM21" s="319"/>
      <c r="DN21" s="319"/>
      <c r="DO21" s="319"/>
      <c r="DP21" s="319"/>
      <c r="DQ21" s="319"/>
      <c r="DR21" s="319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/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121"/>
    </row>
    <row r="22" spans="1:145" ht="13.5" customHeight="1">
      <c r="A22" s="108" t="s">
        <v>26</v>
      </c>
      <c r="B22" s="343">
        <f>'P2P Estimates'!K33</f>
        <v>921</v>
      </c>
      <c r="C22" s="344">
        <f>'P2P Estimates'!Q33</f>
        <v>2.1928571428571426</v>
      </c>
      <c r="D22" s="345">
        <f>'P2P Estimates'!N33</f>
        <v>15.35</v>
      </c>
      <c r="F22" s="119"/>
      <c r="G22" s="248"/>
      <c r="H22" s="248"/>
      <c r="I22" s="248"/>
      <c r="J22" s="248"/>
      <c r="K22" s="248"/>
      <c r="L22" s="248"/>
      <c r="M22" s="248"/>
      <c r="N22" s="248"/>
      <c r="O22" s="248"/>
      <c r="P22" s="248"/>
      <c r="Q22" s="248"/>
      <c r="R22" s="248"/>
      <c r="S22" s="248"/>
      <c r="T22" s="248"/>
      <c r="U22" s="248"/>
      <c r="V22" s="248"/>
      <c r="W22" s="252"/>
      <c r="X22" s="119"/>
      <c r="Y22" s="248"/>
      <c r="Z22" s="248"/>
      <c r="AA22" s="248"/>
      <c r="AB22" s="248"/>
      <c r="AC22" s="248"/>
      <c r="AD22" s="248"/>
      <c r="AE22" s="248"/>
      <c r="AF22" s="248"/>
      <c r="AG22" s="248"/>
      <c r="AH22" s="248"/>
      <c r="AI22" s="248"/>
      <c r="AJ22" s="248"/>
      <c r="AK22" s="248"/>
      <c r="AL22" s="248"/>
      <c r="AM22" s="248"/>
      <c r="AN22" s="248"/>
      <c r="AO22" s="248"/>
      <c r="AP22" s="248"/>
      <c r="AQ22" s="248"/>
      <c r="AR22" s="248"/>
      <c r="AS22" s="248"/>
      <c r="AT22" s="248"/>
      <c r="AU22" s="248"/>
      <c r="AV22" s="248"/>
      <c r="AW22" s="248"/>
      <c r="AX22" s="248"/>
      <c r="AY22" s="248"/>
      <c r="AZ22" s="248"/>
      <c r="BA22" s="252"/>
      <c r="BB22" s="119"/>
      <c r="BC22" s="248"/>
      <c r="BD22" s="248"/>
      <c r="BE22" s="248"/>
      <c r="BF22" s="248"/>
      <c r="BG22" s="248"/>
      <c r="BH22" s="248"/>
      <c r="BI22" s="319"/>
      <c r="BJ22" s="319"/>
      <c r="BK22" s="319"/>
      <c r="BL22" s="319"/>
      <c r="BM22" s="319"/>
      <c r="BN22" s="319"/>
      <c r="BO22" s="319"/>
      <c r="BP22" s="319"/>
      <c r="BQ22" s="319"/>
      <c r="BR22" s="319"/>
      <c r="BS22" s="304"/>
      <c r="BT22" s="304"/>
      <c r="BU22" s="304"/>
      <c r="BV22" s="319"/>
      <c r="BW22" s="319"/>
      <c r="BX22" s="319"/>
      <c r="BY22" s="319"/>
      <c r="BZ22" s="319"/>
      <c r="CA22" s="319"/>
      <c r="CB22" s="319"/>
      <c r="CC22" s="319"/>
      <c r="CD22" s="319"/>
      <c r="CE22" s="319"/>
      <c r="CF22" s="320"/>
      <c r="CG22" s="321"/>
      <c r="CH22" s="322"/>
      <c r="CI22" s="319"/>
      <c r="CJ22" s="319"/>
      <c r="CK22" s="319"/>
      <c r="CL22" s="319"/>
      <c r="CM22" s="319"/>
      <c r="CN22" s="319"/>
      <c r="CO22" s="319"/>
      <c r="CP22" s="319"/>
      <c r="CQ22" s="319"/>
      <c r="CR22" s="319"/>
      <c r="CS22" s="319"/>
      <c r="CT22" s="319"/>
      <c r="CU22" s="319"/>
      <c r="CV22" s="319"/>
      <c r="CW22" s="319"/>
      <c r="CX22" s="319"/>
      <c r="CY22" s="319"/>
      <c r="CZ22" s="319"/>
      <c r="DA22" s="319"/>
      <c r="DB22" s="319"/>
      <c r="DC22" s="319"/>
      <c r="DD22" s="319"/>
      <c r="DE22" s="319"/>
      <c r="DF22" s="319"/>
      <c r="DG22" s="319"/>
      <c r="DH22" s="319"/>
      <c r="DI22" s="319"/>
      <c r="DJ22" s="319"/>
      <c r="DK22" s="320"/>
      <c r="DL22" s="321"/>
      <c r="DM22" s="319"/>
      <c r="DN22" s="319"/>
      <c r="DO22" s="319"/>
      <c r="DP22" s="319"/>
      <c r="DQ22" s="319"/>
      <c r="DR22" s="319"/>
      <c r="DS22" s="248"/>
      <c r="DT22" s="248"/>
      <c r="DU22" s="248"/>
      <c r="DV22" s="248"/>
      <c r="DW22" s="248"/>
      <c r="DX22" s="248"/>
      <c r="DY22" s="248"/>
      <c r="DZ22" s="248"/>
      <c r="EA22" s="248"/>
      <c r="EB22" s="248"/>
      <c r="EC22" s="248"/>
      <c r="ED22" s="248"/>
      <c r="EE22" s="248"/>
      <c r="EF22" s="248"/>
      <c r="EG22" s="248"/>
      <c r="EH22" s="248"/>
      <c r="EI22" s="248"/>
      <c r="EJ22" s="248"/>
      <c r="EK22" s="248"/>
      <c r="EL22" s="248"/>
      <c r="EM22" s="248"/>
      <c r="EN22" s="248"/>
      <c r="EO22" s="121"/>
    </row>
    <row r="23" spans="1:145" ht="13.5" customHeight="1">
      <c r="A23" s="108" t="s">
        <v>60</v>
      </c>
      <c r="B23" s="343">
        <f>'P2P Estimates'!K34</f>
        <v>245</v>
      </c>
      <c r="C23" s="344">
        <f>'P2P Estimates'!Q34</f>
        <v>0.5833333333333333</v>
      </c>
      <c r="D23" s="345">
        <f>'P2P Estimates'!N34</f>
        <v>4.083333333333333</v>
      </c>
      <c r="F23" s="119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52"/>
      <c r="X23" s="119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48"/>
      <c r="AP23" s="248"/>
      <c r="AQ23" s="248"/>
      <c r="AR23" s="248"/>
      <c r="AS23" s="248"/>
      <c r="AT23" s="248"/>
      <c r="AU23" s="248"/>
      <c r="AV23" s="248"/>
      <c r="AW23" s="248"/>
      <c r="AX23" s="248"/>
      <c r="AY23" s="248"/>
      <c r="AZ23" s="248"/>
      <c r="BA23" s="252"/>
      <c r="BB23" s="119"/>
      <c r="BC23" s="248"/>
      <c r="BD23" s="248"/>
      <c r="BE23" s="248"/>
      <c r="BF23" s="248"/>
      <c r="BG23" s="248"/>
      <c r="BH23" s="248"/>
      <c r="BI23" s="319"/>
      <c r="BJ23" s="319"/>
      <c r="BK23" s="319"/>
      <c r="BL23" s="319"/>
      <c r="BM23" s="319"/>
      <c r="BN23" s="319"/>
      <c r="BO23" s="319"/>
      <c r="BP23" s="319"/>
      <c r="BQ23" s="319"/>
      <c r="BR23" s="319"/>
      <c r="BS23" s="319"/>
      <c r="BT23" s="319"/>
      <c r="BU23" s="319"/>
      <c r="BV23" s="319"/>
      <c r="BW23" s="319"/>
      <c r="BX23" s="319"/>
      <c r="BY23" s="319"/>
      <c r="BZ23" s="319"/>
      <c r="CA23" s="319"/>
      <c r="CB23" s="304"/>
      <c r="CC23" s="319"/>
      <c r="CD23" s="319"/>
      <c r="CE23" s="319"/>
      <c r="CF23" s="320"/>
      <c r="CG23" s="321"/>
      <c r="CH23" s="322"/>
      <c r="CI23" s="319"/>
      <c r="CJ23" s="319"/>
      <c r="CK23" s="319"/>
      <c r="CL23" s="319"/>
      <c r="CM23" s="319"/>
      <c r="CN23" s="319"/>
      <c r="CO23" s="319"/>
      <c r="CP23" s="319"/>
      <c r="CQ23" s="319"/>
      <c r="CR23" s="319"/>
      <c r="CS23" s="319"/>
      <c r="CT23" s="319"/>
      <c r="CU23" s="319"/>
      <c r="CV23" s="319"/>
      <c r="CW23" s="319"/>
      <c r="CX23" s="319"/>
      <c r="CY23" s="319"/>
      <c r="CZ23" s="319"/>
      <c r="DA23" s="319"/>
      <c r="DB23" s="319"/>
      <c r="DC23" s="319"/>
      <c r="DD23" s="319"/>
      <c r="DE23" s="319"/>
      <c r="DF23" s="319"/>
      <c r="DG23" s="319"/>
      <c r="DH23" s="319"/>
      <c r="DI23" s="319"/>
      <c r="DJ23" s="319"/>
      <c r="DK23" s="320"/>
      <c r="DL23" s="321"/>
      <c r="DM23" s="319"/>
      <c r="DN23" s="319"/>
      <c r="DO23" s="319"/>
      <c r="DP23" s="319"/>
      <c r="DQ23" s="319"/>
      <c r="DR23" s="319"/>
      <c r="DS23" s="248"/>
      <c r="DT23" s="248"/>
      <c r="DU23" s="248"/>
      <c r="DV23" s="248"/>
      <c r="DW23" s="248"/>
      <c r="DX23" s="248"/>
      <c r="DY23" s="248"/>
      <c r="DZ23" s="248"/>
      <c r="EA23" s="248"/>
      <c r="EB23" s="248"/>
      <c r="EC23" s="248"/>
      <c r="ED23" s="248"/>
      <c r="EE23" s="248"/>
      <c r="EF23" s="248"/>
      <c r="EG23" s="248"/>
      <c r="EH23" s="248"/>
      <c r="EI23" s="248"/>
      <c r="EJ23" s="248"/>
      <c r="EK23" s="248"/>
      <c r="EL23" s="248"/>
      <c r="EM23" s="248"/>
      <c r="EN23" s="248"/>
      <c r="EO23" s="121"/>
    </row>
    <row r="24" spans="1:145" ht="12.75">
      <c r="A24" s="108" t="s">
        <v>61</v>
      </c>
      <c r="B24" s="343">
        <f>'P2P Estimates'!K35</f>
        <v>2888</v>
      </c>
      <c r="C24" s="344">
        <f>'P2P Estimates'!Q35</f>
        <v>6.876190476190476</v>
      </c>
      <c r="D24" s="345">
        <f>'P2P Estimates'!N35</f>
        <v>48.13333333333333</v>
      </c>
      <c r="F24" s="119"/>
      <c r="G24" s="248"/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52"/>
      <c r="X24" s="119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52"/>
      <c r="BB24" s="119"/>
      <c r="BC24" s="248"/>
      <c r="BD24" s="248"/>
      <c r="BE24" s="248"/>
      <c r="BF24" s="248"/>
      <c r="BG24" s="248"/>
      <c r="BH24" s="248"/>
      <c r="BI24" s="319"/>
      <c r="BJ24" s="304"/>
      <c r="BK24" s="304"/>
      <c r="BL24" s="304"/>
      <c r="BM24" s="304"/>
      <c r="BN24" s="304"/>
      <c r="BO24" s="319"/>
      <c r="BP24" s="319"/>
      <c r="BQ24" s="304"/>
      <c r="BR24" s="304"/>
      <c r="BS24" s="319"/>
      <c r="BT24" s="319"/>
      <c r="BU24" s="319"/>
      <c r="BV24" s="319"/>
      <c r="BW24" s="319"/>
      <c r="BX24" s="319"/>
      <c r="BY24" s="319"/>
      <c r="BZ24" s="319"/>
      <c r="CA24" s="319"/>
      <c r="CB24" s="319"/>
      <c r="CC24" s="319"/>
      <c r="CD24" s="319"/>
      <c r="CE24" s="319"/>
      <c r="CF24" s="320"/>
      <c r="CG24" s="321"/>
      <c r="CH24" s="322"/>
      <c r="CI24" s="319"/>
      <c r="CJ24" s="319"/>
      <c r="CK24" s="319"/>
      <c r="CL24" s="319"/>
      <c r="CM24" s="319"/>
      <c r="CN24" s="319"/>
      <c r="CO24" s="319"/>
      <c r="CP24" s="319"/>
      <c r="CQ24" s="319"/>
      <c r="CR24" s="319"/>
      <c r="CS24" s="319"/>
      <c r="CT24" s="319"/>
      <c r="CU24" s="319"/>
      <c r="CV24" s="319"/>
      <c r="CW24" s="319"/>
      <c r="CX24" s="319"/>
      <c r="CY24" s="319"/>
      <c r="CZ24" s="319"/>
      <c r="DA24" s="319"/>
      <c r="DB24" s="319"/>
      <c r="DC24" s="319"/>
      <c r="DD24" s="319"/>
      <c r="DE24" s="319"/>
      <c r="DF24" s="319"/>
      <c r="DG24" s="319"/>
      <c r="DH24" s="319"/>
      <c r="DI24" s="319"/>
      <c r="DJ24" s="319"/>
      <c r="DK24" s="320"/>
      <c r="DL24" s="321"/>
      <c r="DM24" s="319"/>
      <c r="DN24" s="319"/>
      <c r="DO24" s="319"/>
      <c r="DP24" s="319"/>
      <c r="DQ24" s="319"/>
      <c r="DR24" s="319"/>
      <c r="DS24" s="248"/>
      <c r="DT24" s="248"/>
      <c r="DU24" s="248"/>
      <c r="DV24" s="248"/>
      <c r="DW24" s="248"/>
      <c r="DX24" s="248"/>
      <c r="DY24" s="248"/>
      <c r="DZ24" s="248"/>
      <c r="EA24" s="248"/>
      <c r="EB24" s="248"/>
      <c r="EC24" s="248"/>
      <c r="ED24" s="248"/>
      <c r="EE24" s="248"/>
      <c r="EF24" s="248"/>
      <c r="EG24" s="248"/>
      <c r="EH24" s="248"/>
      <c r="EI24" s="248"/>
      <c r="EJ24" s="248"/>
      <c r="EK24" s="248"/>
      <c r="EL24" s="248"/>
      <c r="EM24" s="248"/>
      <c r="EN24" s="248"/>
      <c r="EO24" s="121"/>
    </row>
    <row r="25" spans="1:145" ht="13.5" thickBot="1">
      <c r="A25" s="316" t="s">
        <v>27</v>
      </c>
      <c r="B25" s="346">
        <f>'P2P Estimates'!K39</f>
        <v>4829</v>
      </c>
      <c r="C25" s="347">
        <f>'P2P Estimates'!Q39</f>
        <v>11.497619047619047</v>
      </c>
      <c r="D25" s="348">
        <f>'P2P Estimates'!N39</f>
        <v>80.48333333333333</v>
      </c>
      <c r="F25" s="120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254"/>
      <c r="X25" s="120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254"/>
      <c r="BB25" s="120"/>
      <c r="BC25" s="63"/>
      <c r="BD25" s="63"/>
      <c r="BE25" s="63"/>
      <c r="BF25" s="63"/>
      <c r="BG25" s="63"/>
      <c r="BH25" s="63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05"/>
      <c r="CF25" s="306"/>
      <c r="CG25" s="307"/>
      <c r="CH25" s="308"/>
      <c r="CI25" s="305"/>
      <c r="CJ25" s="327"/>
      <c r="CK25" s="327"/>
      <c r="CL25" s="305"/>
      <c r="CM25" s="305"/>
      <c r="CN25" s="305"/>
      <c r="CO25" s="305"/>
      <c r="CP25" s="305"/>
      <c r="CQ25" s="327"/>
      <c r="CR25" s="327"/>
      <c r="CS25" s="305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8"/>
      <c r="DL25" s="329"/>
      <c r="DM25" s="327"/>
      <c r="DN25" s="327"/>
      <c r="DO25" s="327"/>
      <c r="DP25" s="327"/>
      <c r="DQ25" s="327"/>
      <c r="DR25" s="327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122"/>
    </row>
    <row r="26" spans="1:145" s="1" customFormat="1" ht="15.75" thickBot="1">
      <c r="A26" s="276" t="s">
        <v>150</v>
      </c>
      <c r="B26" s="349"/>
      <c r="C26" s="350"/>
      <c r="D26" s="350"/>
      <c r="F26" s="277"/>
      <c r="G26" s="277"/>
      <c r="H26" s="277"/>
      <c r="I26" s="277"/>
      <c r="J26" s="277"/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  <c r="AP26" s="277"/>
      <c r="AQ26" s="277"/>
      <c r="AR26" s="277"/>
      <c r="AS26" s="277"/>
      <c r="AT26" s="277"/>
      <c r="AU26" s="277"/>
      <c r="AV26" s="277"/>
      <c r="AW26" s="277"/>
      <c r="AX26" s="277"/>
      <c r="AY26" s="277"/>
      <c r="AZ26" s="277"/>
      <c r="BA26" s="277"/>
      <c r="BB26" s="277"/>
      <c r="BC26" s="277"/>
      <c r="BD26" s="277"/>
      <c r="BE26" s="277"/>
      <c r="BF26" s="277"/>
      <c r="BG26" s="277"/>
      <c r="BH26" s="277"/>
      <c r="BI26" s="330"/>
      <c r="BJ26" s="330"/>
      <c r="BK26" s="330"/>
      <c r="BL26" s="330"/>
      <c r="BM26" s="330"/>
      <c r="BN26" s="330"/>
      <c r="BO26" s="330"/>
      <c r="BP26" s="330"/>
      <c r="BQ26" s="330"/>
      <c r="BR26" s="330"/>
      <c r="BS26" s="330"/>
      <c r="BT26" s="330"/>
      <c r="BU26" s="330"/>
      <c r="BV26" s="330"/>
      <c r="BW26" s="330"/>
      <c r="BX26" s="330"/>
      <c r="BY26" s="330"/>
      <c r="BZ26" s="330"/>
      <c r="CA26" s="330"/>
      <c r="CB26" s="330"/>
      <c r="CC26" s="330"/>
      <c r="CD26" s="330"/>
      <c r="CE26" s="330"/>
      <c r="CF26" s="330"/>
      <c r="CG26" s="330"/>
      <c r="CH26" s="330"/>
      <c r="CI26" s="330"/>
      <c r="CJ26" s="330"/>
      <c r="CK26" s="330"/>
      <c r="CL26" s="330"/>
      <c r="CM26" s="330"/>
      <c r="CN26" s="330"/>
      <c r="CO26" s="330"/>
      <c r="CP26" s="330"/>
      <c r="CQ26" s="330"/>
      <c r="CR26" s="330"/>
      <c r="CS26" s="330"/>
      <c r="CT26" s="330"/>
      <c r="CU26" s="330"/>
      <c r="CV26" s="330"/>
      <c r="CW26" s="330"/>
      <c r="CX26" s="330"/>
      <c r="CY26" s="330"/>
      <c r="CZ26" s="330"/>
      <c r="DA26" s="330"/>
      <c r="DB26" s="330"/>
      <c r="DC26" s="330"/>
      <c r="DD26" s="330"/>
      <c r="DE26" s="330"/>
      <c r="DF26" s="330"/>
      <c r="DG26" s="330"/>
      <c r="DH26" s="330"/>
      <c r="DI26" s="330"/>
      <c r="DJ26" s="330"/>
      <c r="DK26" s="330"/>
      <c r="DL26" s="330"/>
      <c r="DM26" s="330"/>
      <c r="DN26" s="330"/>
      <c r="DO26" s="330"/>
      <c r="DP26" s="330"/>
      <c r="DQ26" s="330"/>
      <c r="DR26" s="330"/>
      <c r="DS26" s="277"/>
      <c r="DT26" s="277"/>
      <c r="DU26" s="277"/>
      <c r="DV26" s="277"/>
      <c r="DW26" s="277"/>
      <c r="DX26" s="277"/>
      <c r="DY26" s="277"/>
      <c r="DZ26" s="277"/>
      <c r="EA26" s="277"/>
      <c r="EB26" s="277"/>
      <c r="EC26" s="277"/>
      <c r="ED26" s="277"/>
      <c r="EE26" s="277"/>
      <c r="EF26" s="277"/>
      <c r="EG26" s="277"/>
      <c r="EH26" s="277"/>
      <c r="EI26" s="277"/>
      <c r="EJ26" s="277"/>
      <c r="EK26" s="277"/>
      <c r="EL26" s="277"/>
      <c r="EM26" s="277"/>
      <c r="EN26" s="277"/>
      <c r="EO26" s="277"/>
    </row>
    <row r="27" spans="1:145" ht="12.75">
      <c r="A27" s="315" t="s">
        <v>16</v>
      </c>
      <c r="B27" s="340">
        <f>'P2P Estimates'!K2</f>
        <v>2042</v>
      </c>
      <c r="C27" s="341">
        <f>'P2P Estimates'!Q2</f>
        <v>4.8619047619047615</v>
      </c>
      <c r="D27" s="342">
        <f>'P2P Estimates'!N2</f>
        <v>34.03333333333333</v>
      </c>
      <c r="F27" s="272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4"/>
      <c r="X27" s="288"/>
      <c r="Y27" s="289"/>
      <c r="Z27" s="289"/>
      <c r="AA27" s="289"/>
      <c r="AB27" s="289"/>
      <c r="AC27" s="289"/>
      <c r="AD27" s="289"/>
      <c r="AE27" s="289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4"/>
      <c r="BB27" s="272"/>
      <c r="BC27" s="273"/>
      <c r="BD27" s="273"/>
      <c r="BE27" s="273"/>
      <c r="BF27" s="273"/>
      <c r="BG27" s="273"/>
      <c r="BH27" s="273"/>
      <c r="BI27" s="331"/>
      <c r="BJ27" s="331"/>
      <c r="BK27" s="331"/>
      <c r="BL27" s="331"/>
      <c r="BM27" s="331"/>
      <c r="BN27" s="331"/>
      <c r="BO27" s="331"/>
      <c r="BP27" s="331"/>
      <c r="BQ27" s="331"/>
      <c r="BR27" s="331"/>
      <c r="BS27" s="331"/>
      <c r="BT27" s="331"/>
      <c r="BU27" s="331"/>
      <c r="BV27" s="331"/>
      <c r="BW27" s="331"/>
      <c r="BX27" s="331"/>
      <c r="BY27" s="331"/>
      <c r="BZ27" s="331"/>
      <c r="CA27" s="331"/>
      <c r="CB27" s="331"/>
      <c r="CC27" s="331"/>
      <c r="CD27" s="331"/>
      <c r="CE27" s="394"/>
      <c r="CF27" s="395"/>
      <c r="CG27" s="396"/>
      <c r="CH27" s="397"/>
      <c r="CI27" s="394"/>
      <c r="CJ27" s="331"/>
      <c r="CK27" s="331"/>
      <c r="CL27" s="393"/>
      <c r="CM27" s="393"/>
      <c r="CN27" s="393"/>
      <c r="CO27" s="393"/>
      <c r="CP27" s="398"/>
      <c r="CQ27" s="331"/>
      <c r="CR27" s="331"/>
      <c r="CS27" s="331"/>
      <c r="CT27" s="331"/>
      <c r="CU27" s="331"/>
      <c r="CV27" s="331"/>
      <c r="CW27" s="331"/>
      <c r="CX27" s="331"/>
      <c r="CY27" s="331"/>
      <c r="CZ27" s="331"/>
      <c r="DA27" s="331"/>
      <c r="DB27" s="331"/>
      <c r="DC27" s="331"/>
      <c r="DD27" s="331"/>
      <c r="DE27" s="331"/>
      <c r="DF27" s="331"/>
      <c r="DG27" s="331"/>
      <c r="DH27" s="331"/>
      <c r="DI27" s="331"/>
      <c r="DJ27" s="331"/>
      <c r="DK27" s="332"/>
      <c r="DL27" s="333"/>
      <c r="DM27" s="331"/>
      <c r="DN27" s="331"/>
      <c r="DO27" s="331"/>
      <c r="DP27" s="331"/>
      <c r="DQ27" s="331"/>
      <c r="DR27" s="331"/>
      <c r="DS27" s="273"/>
      <c r="DT27" s="273"/>
      <c r="DU27" s="273"/>
      <c r="DV27" s="273"/>
      <c r="DW27" s="273"/>
      <c r="DX27" s="273"/>
      <c r="DY27" s="273"/>
      <c r="DZ27" s="273"/>
      <c r="EA27" s="273"/>
      <c r="EB27" s="273"/>
      <c r="EC27" s="273"/>
      <c r="ED27" s="273"/>
      <c r="EE27" s="273"/>
      <c r="EF27" s="273"/>
      <c r="EG27" s="273"/>
      <c r="EH27" s="273"/>
      <c r="EI27" s="273"/>
      <c r="EJ27" s="273"/>
      <c r="EK27" s="273"/>
      <c r="EL27" s="273"/>
      <c r="EM27" s="273"/>
      <c r="EN27" s="273"/>
      <c r="EO27" s="275"/>
    </row>
    <row r="28" spans="1:145" ht="12.75">
      <c r="A28" s="108" t="s">
        <v>17</v>
      </c>
      <c r="B28" s="343">
        <f>'P2P Estimates'!K4</f>
        <v>10932</v>
      </c>
      <c r="C28" s="344">
        <f>'P2P Estimates'!Q4</f>
        <v>26.02857142857143</v>
      </c>
      <c r="D28" s="345">
        <f>'P2P Estimates'!N4</f>
        <v>182.2</v>
      </c>
      <c r="F28" s="119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52"/>
      <c r="X28" s="119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52"/>
      <c r="BB28" s="119"/>
      <c r="BC28" s="248"/>
      <c r="BD28" s="248"/>
      <c r="BE28" s="248"/>
      <c r="BF28" s="248"/>
      <c r="BG28" s="248"/>
      <c r="BH28" s="248"/>
      <c r="BI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04"/>
      <c r="CF28" s="309"/>
      <c r="CG28" s="310"/>
      <c r="CH28" s="311"/>
      <c r="CI28" s="304"/>
      <c r="CJ28" s="319"/>
      <c r="CK28" s="319"/>
      <c r="CL28" s="304"/>
      <c r="CM28" s="304"/>
      <c r="CN28" s="304"/>
      <c r="CO28" s="304"/>
      <c r="CP28" s="304"/>
      <c r="CQ28" s="319"/>
      <c r="CR28" s="319"/>
      <c r="CS28" s="304"/>
      <c r="CT28" s="304"/>
      <c r="CU28" s="304"/>
      <c r="CV28" s="304"/>
      <c r="CW28" s="304"/>
      <c r="CX28" s="319"/>
      <c r="CY28" s="319"/>
      <c r="CZ28" s="304"/>
      <c r="DA28" s="304"/>
      <c r="DB28" s="304"/>
      <c r="DC28" s="304"/>
      <c r="DD28" s="304"/>
      <c r="DE28" s="319"/>
      <c r="DF28" s="319"/>
      <c r="DG28" s="304"/>
      <c r="DH28" s="304"/>
      <c r="DI28" s="304"/>
      <c r="DJ28" s="304"/>
      <c r="DK28" s="309"/>
      <c r="DL28" s="321"/>
      <c r="DM28" s="319"/>
      <c r="DN28" s="319"/>
      <c r="DO28" s="319"/>
      <c r="DP28" s="319"/>
      <c r="DQ28" s="319"/>
      <c r="DR28" s="319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121"/>
    </row>
    <row r="29" spans="1:145" ht="12.75">
      <c r="A29" s="108" t="s">
        <v>18</v>
      </c>
      <c r="B29" s="343">
        <f>'P2P Estimates'!K7</f>
        <v>4169</v>
      </c>
      <c r="C29" s="344">
        <f>'P2P Estimates'!Q7</f>
        <v>9.926190476190476</v>
      </c>
      <c r="D29" s="345">
        <f>'P2P Estimates'!N7</f>
        <v>69.48333333333333</v>
      </c>
      <c r="F29" s="119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52"/>
      <c r="X29" s="119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52"/>
      <c r="BB29" s="119"/>
      <c r="BC29" s="248"/>
      <c r="BD29" s="248"/>
      <c r="BE29" s="248"/>
      <c r="BF29" s="248"/>
      <c r="BG29" s="248"/>
      <c r="BH29" s="248"/>
      <c r="BI29" s="319"/>
      <c r="BJ29" s="319"/>
      <c r="BK29" s="319"/>
      <c r="BL29" s="319"/>
      <c r="BM29" s="319"/>
      <c r="BN29" s="319"/>
      <c r="BO29" s="319"/>
      <c r="BP29" s="319"/>
      <c r="BQ29" s="319"/>
      <c r="BR29" s="319"/>
      <c r="BS29" s="319"/>
      <c r="BT29" s="319"/>
      <c r="BU29" s="319"/>
      <c r="BV29" s="319"/>
      <c r="BW29" s="319"/>
      <c r="BX29" s="319"/>
      <c r="BY29" s="319"/>
      <c r="BZ29" s="319"/>
      <c r="CA29" s="319"/>
      <c r="CB29" s="319"/>
      <c r="CC29" s="319"/>
      <c r="CD29" s="319"/>
      <c r="CE29" s="296"/>
      <c r="CF29" s="388"/>
      <c r="CG29" s="318"/>
      <c r="CH29" s="389"/>
      <c r="CI29" s="296"/>
      <c r="CJ29" s="319"/>
      <c r="CK29" s="319"/>
      <c r="CL29" s="296"/>
      <c r="CM29" s="296"/>
      <c r="CN29" s="296"/>
      <c r="CO29" s="296"/>
      <c r="CP29" s="296"/>
      <c r="CQ29" s="319"/>
      <c r="CR29" s="319"/>
      <c r="CS29" s="319"/>
      <c r="CT29" s="319"/>
      <c r="CU29" s="319"/>
      <c r="CV29" s="319"/>
      <c r="CW29" s="319"/>
      <c r="CX29" s="319"/>
      <c r="CY29" s="319"/>
      <c r="CZ29" s="319"/>
      <c r="DA29" s="319"/>
      <c r="DB29" s="319"/>
      <c r="DC29" s="319"/>
      <c r="DD29" s="319"/>
      <c r="DE29" s="319"/>
      <c r="DF29" s="319"/>
      <c r="DG29" s="319"/>
      <c r="DH29" s="319"/>
      <c r="DI29" s="319"/>
      <c r="DJ29" s="319"/>
      <c r="DK29" s="320"/>
      <c r="DL29" s="321"/>
      <c r="DM29" s="319"/>
      <c r="DN29" s="362"/>
      <c r="DO29" s="362"/>
      <c r="DP29" s="362"/>
      <c r="DQ29" s="362"/>
      <c r="DR29" s="362"/>
      <c r="DS29" s="248"/>
      <c r="DT29" s="248"/>
      <c r="DU29" s="358"/>
      <c r="DV29" s="358"/>
      <c r="DW29" s="358"/>
      <c r="DX29" s="358"/>
      <c r="DY29" s="358"/>
      <c r="DZ29" s="248"/>
      <c r="EA29" s="248"/>
      <c r="EB29" s="358"/>
      <c r="EC29" s="358"/>
      <c r="ED29" s="358"/>
      <c r="EE29" s="358"/>
      <c r="EF29" s="358"/>
      <c r="EG29" s="248"/>
      <c r="EH29" s="248"/>
      <c r="EI29" s="363"/>
      <c r="EJ29" s="248"/>
      <c r="EL29" s="248"/>
      <c r="EM29" s="248"/>
      <c r="EN29" s="248"/>
      <c r="EO29" s="121"/>
    </row>
    <row r="30" spans="1:145" ht="12.75">
      <c r="A30" s="108" t="s">
        <v>19</v>
      </c>
      <c r="B30" s="343">
        <f>'P2P Estimates'!K9</f>
        <v>311</v>
      </c>
      <c r="C30" s="344">
        <f>'P2P Estimates'!Q9</f>
        <v>0.7404761904761905</v>
      </c>
      <c r="D30" s="345">
        <f>'P2P Estimates'!N9</f>
        <v>5.183333333333334</v>
      </c>
      <c r="F30" s="119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52"/>
      <c r="X30" s="119"/>
      <c r="Y30" s="296"/>
      <c r="Z30" s="296"/>
      <c r="AA30" s="248"/>
      <c r="AB30" s="248"/>
      <c r="AC30" s="248"/>
      <c r="AD30" s="248"/>
      <c r="AE30" s="248"/>
      <c r="AF30" s="296"/>
      <c r="AG30" s="296"/>
      <c r="AH30" s="248"/>
      <c r="AI30" s="248"/>
      <c r="AJ30" s="248"/>
      <c r="AK30" s="248"/>
      <c r="AL30" s="248"/>
      <c r="AM30" s="296"/>
      <c r="AN30" s="296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52"/>
      <c r="BB30" s="119"/>
      <c r="BC30" s="248"/>
      <c r="BD30" s="248"/>
      <c r="BE30" s="248"/>
      <c r="BF30" s="248"/>
      <c r="BG30" s="248"/>
      <c r="BH30" s="248"/>
      <c r="BI30" s="319"/>
      <c r="BJ30" s="319"/>
      <c r="BK30" s="319"/>
      <c r="BL30" s="319"/>
      <c r="BM30" s="319"/>
      <c r="BN30" s="319"/>
      <c r="BO30" s="319"/>
      <c r="BP30" s="319"/>
      <c r="BQ30" s="319"/>
      <c r="BR30" s="319"/>
      <c r="BS30" s="319"/>
      <c r="BT30" s="319"/>
      <c r="BU30" s="319"/>
      <c r="BV30" s="319"/>
      <c r="BW30" s="319"/>
      <c r="BX30" s="319"/>
      <c r="BY30" s="319"/>
      <c r="BZ30" s="319"/>
      <c r="CA30" s="319"/>
      <c r="CB30" s="304"/>
      <c r="CC30" s="319"/>
      <c r="CD30" s="319"/>
      <c r="CE30" s="319"/>
      <c r="CF30" s="320"/>
      <c r="CG30" s="321"/>
      <c r="CH30" s="322"/>
      <c r="CI30" s="319"/>
      <c r="CJ30" s="319"/>
      <c r="CK30" s="319"/>
      <c r="CL30" s="319"/>
      <c r="CM30" s="319"/>
      <c r="CN30" s="319"/>
      <c r="CO30" s="319"/>
      <c r="CP30" s="319"/>
      <c r="CQ30" s="319"/>
      <c r="CR30" s="319"/>
      <c r="CS30" s="319"/>
      <c r="CT30" s="319"/>
      <c r="CU30" s="319"/>
      <c r="CV30" s="319"/>
      <c r="CW30" s="319"/>
      <c r="CX30" s="319"/>
      <c r="CY30" s="319"/>
      <c r="CZ30" s="319"/>
      <c r="DA30" s="319"/>
      <c r="DB30" s="319"/>
      <c r="DC30" s="319"/>
      <c r="DD30" s="319"/>
      <c r="DE30" s="319"/>
      <c r="DF30" s="319"/>
      <c r="DG30" s="319"/>
      <c r="DH30" s="319"/>
      <c r="DI30" s="319"/>
      <c r="DJ30" s="319"/>
      <c r="DK30" s="320"/>
      <c r="DL30" s="321"/>
      <c r="DM30" s="319"/>
      <c r="DN30" s="319"/>
      <c r="DO30" s="319"/>
      <c r="DP30" s="319"/>
      <c r="DQ30" s="319"/>
      <c r="DR30" s="319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121"/>
    </row>
    <row r="31" spans="1:145" ht="14.25" customHeight="1">
      <c r="A31" s="108" t="s">
        <v>208</v>
      </c>
      <c r="B31" s="343">
        <v>3403</v>
      </c>
      <c r="C31" s="344">
        <f>'P2P Estimates'!Q14/2</f>
        <v>8.10357142857143</v>
      </c>
      <c r="D31" s="345">
        <f>'P2P Estimates'!N14/2</f>
        <v>56.725</v>
      </c>
      <c r="F31" s="119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52"/>
      <c r="X31" s="361"/>
      <c r="Y31" s="296"/>
      <c r="Z31" s="296"/>
      <c r="AA31" s="358"/>
      <c r="AB31" s="358"/>
      <c r="AC31" s="358"/>
      <c r="AD31" s="358"/>
      <c r="AE31" s="363"/>
      <c r="AF31" s="296"/>
      <c r="AG31" s="296"/>
      <c r="AH31" s="358"/>
      <c r="AI31" s="358"/>
      <c r="AJ31" s="358"/>
      <c r="AK31" s="358"/>
      <c r="AL31" s="363"/>
      <c r="AM31" s="296"/>
      <c r="AN31" s="296"/>
      <c r="AO31" s="296"/>
      <c r="AP31" s="296"/>
      <c r="AQ31" s="296"/>
      <c r="AR31" s="296"/>
      <c r="AS31" s="296"/>
      <c r="AT31" s="248"/>
      <c r="AU31" s="248"/>
      <c r="AV31" s="248"/>
      <c r="AW31" s="248"/>
      <c r="AX31" s="248"/>
      <c r="AY31" s="248"/>
      <c r="AZ31" s="248"/>
      <c r="BA31" s="252"/>
      <c r="BB31" s="119"/>
      <c r="BC31" s="248"/>
      <c r="BD31" s="248"/>
      <c r="BE31" s="248"/>
      <c r="BF31" s="248"/>
      <c r="BG31" s="248"/>
      <c r="BH31" s="248"/>
      <c r="BI31" s="319"/>
      <c r="BJ31" s="319"/>
      <c r="BK31" s="319"/>
      <c r="BL31" s="319"/>
      <c r="BM31" s="319"/>
      <c r="BN31" s="319"/>
      <c r="BO31" s="319"/>
      <c r="BP31" s="319"/>
      <c r="BQ31" s="319"/>
      <c r="BR31" s="319"/>
      <c r="BS31" s="319"/>
      <c r="BT31" s="319"/>
      <c r="BU31" s="319"/>
      <c r="BV31" s="319"/>
      <c r="BW31" s="319"/>
      <c r="BX31" s="319"/>
      <c r="BY31" s="319"/>
      <c r="BZ31" s="319"/>
      <c r="CA31" s="319"/>
      <c r="CB31" s="319"/>
      <c r="CC31" s="319"/>
      <c r="CD31" s="319"/>
      <c r="CE31" s="319"/>
      <c r="CF31" s="320"/>
      <c r="CG31" s="321"/>
      <c r="CH31" s="322"/>
      <c r="CI31" s="319"/>
      <c r="CJ31" s="319"/>
      <c r="CK31" s="319"/>
      <c r="CL31" s="319"/>
      <c r="CM31" s="319"/>
      <c r="CN31" s="319"/>
      <c r="CO31" s="319"/>
      <c r="CP31" s="319"/>
      <c r="CQ31" s="319"/>
      <c r="CR31" s="319"/>
      <c r="CS31" s="319"/>
      <c r="CT31" s="319"/>
      <c r="CU31" s="319"/>
      <c r="CV31" s="319"/>
      <c r="CW31" s="319"/>
      <c r="CX31" s="319"/>
      <c r="CY31" s="319"/>
      <c r="CZ31" s="319"/>
      <c r="DA31" s="319"/>
      <c r="DB31" s="319"/>
      <c r="DC31" s="319"/>
      <c r="DD31" s="319"/>
      <c r="DE31" s="319"/>
      <c r="DF31" s="319"/>
      <c r="DG31" s="319"/>
      <c r="DH31" s="319"/>
      <c r="DI31" s="319"/>
      <c r="DJ31" s="319"/>
      <c r="DK31" s="320"/>
      <c r="DL31" s="321"/>
      <c r="DM31" s="319"/>
      <c r="DN31" s="319"/>
      <c r="DO31" s="319"/>
      <c r="DP31" s="319"/>
      <c r="DQ31" s="319"/>
      <c r="DR31" s="319"/>
      <c r="DS31" s="248"/>
      <c r="DT31" s="248"/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121"/>
    </row>
    <row r="32" spans="1:145" ht="15" customHeight="1">
      <c r="A32" s="108" t="s">
        <v>209</v>
      </c>
      <c r="B32" s="343">
        <v>3403</v>
      </c>
      <c r="C32" s="344">
        <f>'P2P Estimates'!Q14/2</f>
        <v>8.10357142857143</v>
      </c>
      <c r="D32" s="345">
        <f>'P2P Estimates'!N14/2</f>
        <v>56.725</v>
      </c>
      <c r="F32" s="119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52"/>
      <c r="X32" s="361"/>
      <c r="Y32" s="296"/>
      <c r="Z32" s="296"/>
      <c r="AA32" s="358"/>
      <c r="AB32" s="358"/>
      <c r="AC32" s="358"/>
      <c r="AD32" s="358"/>
      <c r="AE32" s="363"/>
      <c r="AF32" s="296"/>
      <c r="AG32" s="296"/>
      <c r="AH32" s="358"/>
      <c r="AI32" s="358"/>
      <c r="AJ32" s="358"/>
      <c r="AK32" s="358"/>
      <c r="AL32" s="363"/>
      <c r="AM32" s="296"/>
      <c r="AN32" s="296"/>
      <c r="AO32" s="296"/>
      <c r="AP32" s="296"/>
      <c r="AQ32" s="296"/>
      <c r="AR32" s="296"/>
      <c r="AS32" s="296"/>
      <c r="AT32" s="248"/>
      <c r="AU32" s="248"/>
      <c r="AV32" s="248"/>
      <c r="AW32" s="248"/>
      <c r="AX32" s="248"/>
      <c r="AY32" s="248"/>
      <c r="AZ32" s="248"/>
      <c r="BA32" s="252"/>
      <c r="BB32" s="119"/>
      <c r="BC32" s="248"/>
      <c r="BD32" s="248"/>
      <c r="BE32" s="248"/>
      <c r="BF32" s="248"/>
      <c r="BG32" s="248"/>
      <c r="BH32" s="248"/>
      <c r="BI32" s="319"/>
      <c r="BJ32" s="319"/>
      <c r="BK32" s="319"/>
      <c r="BL32" s="319"/>
      <c r="BM32" s="319"/>
      <c r="BN32" s="319"/>
      <c r="BO32" s="319"/>
      <c r="BP32" s="319"/>
      <c r="BQ32" s="319"/>
      <c r="BR32" s="319"/>
      <c r="BS32" s="319"/>
      <c r="BT32" s="319"/>
      <c r="BU32" s="319"/>
      <c r="BV32" s="319"/>
      <c r="BW32" s="319"/>
      <c r="BX32" s="319"/>
      <c r="BY32" s="319"/>
      <c r="BZ32" s="319"/>
      <c r="CA32" s="319"/>
      <c r="CB32" s="319"/>
      <c r="CC32" s="319"/>
      <c r="CD32" s="319"/>
      <c r="CE32" s="319"/>
      <c r="CF32" s="320"/>
      <c r="CG32" s="321"/>
      <c r="CH32" s="322"/>
      <c r="CI32" s="319"/>
      <c r="CJ32" s="319"/>
      <c r="CK32" s="319"/>
      <c r="CL32" s="319"/>
      <c r="CM32" s="319"/>
      <c r="CN32" s="319"/>
      <c r="CO32" s="319"/>
      <c r="CP32" s="319"/>
      <c r="CQ32" s="319"/>
      <c r="CR32" s="319"/>
      <c r="CS32" s="319"/>
      <c r="CT32" s="319"/>
      <c r="CU32" s="319"/>
      <c r="CV32" s="319"/>
      <c r="CW32" s="319"/>
      <c r="CX32" s="319"/>
      <c r="CY32" s="319"/>
      <c r="CZ32" s="319"/>
      <c r="DA32" s="319"/>
      <c r="DB32" s="319"/>
      <c r="DC32" s="319"/>
      <c r="DD32" s="319"/>
      <c r="DE32" s="319"/>
      <c r="DF32" s="319"/>
      <c r="DG32" s="319"/>
      <c r="DH32" s="319"/>
      <c r="DI32" s="319"/>
      <c r="DJ32" s="319"/>
      <c r="DK32" s="320"/>
      <c r="DL32" s="321"/>
      <c r="DM32" s="319"/>
      <c r="DN32" s="319"/>
      <c r="DO32" s="319"/>
      <c r="DP32" s="319"/>
      <c r="DQ32" s="319"/>
      <c r="DR32" s="319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121"/>
    </row>
    <row r="33" spans="1:145" ht="13.5" customHeight="1">
      <c r="A33" s="108" t="s">
        <v>210</v>
      </c>
      <c r="B33" s="343"/>
      <c r="C33" s="344"/>
      <c r="D33" s="345"/>
      <c r="F33" s="119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52"/>
      <c r="X33" s="361"/>
      <c r="Y33" s="296"/>
      <c r="Z33" s="296"/>
      <c r="AA33" s="362"/>
      <c r="AB33" s="362"/>
      <c r="AC33" s="362"/>
      <c r="AD33" s="362"/>
      <c r="AE33" s="362"/>
      <c r="AF33" s="296"/>
      <c r="AG33" s="296"/>
      <c r="AH33" s="358"/>
      <c r="AI33" s="358"/>
      <c r="AJ33" s="358"/>
      <c r="AK33" s="358"/>
      <c r="AL33" s="363"/>
      <c r="AM33" s="296"/>
      <c r="AN33" s="296"/>
      <c r="AO33" s="296"/>
      <c r="AP33" s="296"/>
      <c r="AQ33" s="296"/>
      <c r="AR33" s="296"/>
      <c r="AS33" s="296"/>
      <c r="AT33" s="248"/>
      <c r="AU33" s="248"/>
      <c r="AV33" s="248"/>
      <c r="AW33" s="248"/>
      <c r="AX33" s="248"/>
      <c r="AY33" s="248"/>
      <c r="AZ33" s="248"/>
      <c r="BA33" s="252"/>
      <c r="BB33" s="119"/>
      <c r="BC33" s="248"/>
      <c r="BD33" s="248"/>
      <c r="BE33" s="248"/>
      <c r="BF33" s="248"/>
      <c r="BG33" s="248"/>
      <c r="BH33" s="248"/>
      <c r="BI33" s="319"/>
      <c r="BJ33" s="319"/>
      <c r="BK33" s="319"/>
      <c r="BL33" s="319"/>
      <c r="BM33" s="319"/>
      <c r="BN33" s="319"/>
      <c r="BO33" s="319"/>
      <c r="BP33" s="319"/>
      <c r="BQ33" s="319"/>
      <c r="BR33" s="319"/>
      <c r="BS33" s="319"/>
      <c r="BT33" s="319"/>
      <c r="BU33" s="319"/>
      <c r="BV33" s="319"/>
      <c r="BW33" s="319"/>
      <c r="BX33" s="319"/>
      <c r="BY33" s="319"/>
      <c r="BZ33" s="319"/>
      <c r="CA33" s="319"/>
      <c r="CB33" s="319"/>
      <c r="CC33" s="319"/>
      <c r="CD33" s="319"/>
      <c r="CE33" s="319"/>
      <c r="CF33" s="320"/>
      <c r="CG33" s="321"/>
      <c r="CH33" s="322"/>
      <c r="CI33" s="319"/>
      <c r="CJ33" s="319"/>
      <c r="CK33" s="319"/>
      <c r="CL33" s="319"/>
      <c r="CM33" s="319"/>
      <c r="CN33" s="319"/>
      <c r="CO33" s="319"/>
      <c r="CP33" s="319"/>
      <c r="CQ33" s="319"/>
      <c r="CR33" s="319"/>
      <c r="CS33" s="319"/>
      <c r="CT33" s="319"/>
      <c r="CU33" s="319"/>
      <c r="CV33" s="319"/>
      <c r="CW33" s="319"/>
      <c r="CX33" s="319"/>
      <c r="CY33" s="319"/>
      <c r="CZ33" s="319"/>
      <c r="DA33" s="319"/>
      <c r="DB33" s="319"/>
      <c r="DC33" s="319"/>
      <c r="DD33" s="319"/>
      <c r="DE33" s="319"/>
      <c r="DF33" s="319"/>
      <c r="DG33" s="319"/>
      <c r="DH33" s="319"/>
      <c r="DI33" s="319"/>
      <c r="DJ33" s="319"/>
      <c r="DK33" s="320"/>
      <c r="DL33" s="321"/>
      <c r="DM33" s="319"/>
      <c r="DN33" s="319"/>
      <c r="DO33" s="319"/>
      <c r="DP33" s="319"/>
      <c r="DQ33" s="319"/>
      <c r="DR33" s="319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121"/>
    </row>
    <row r="34" spans="1:145" ht="12.75">
      <c r="A34" s="108" t="s">
        <v>21</v>
      </c>
      <c r="B34" s="343">
        <f>'P2P Estimates'!K15</f>
        <v>1759</v>
      </c>
      <c r="C34" s="344">
        <f>'P2P Estimates'!Q15</f>
        <v>4.188095238095238</v>
      </c>
      <c r="D34" s="345">
        <f>'P2P Estimates'!N15</f>
        <v>29.316666666666666</v>
      </c>
      <c r="F34" s="119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52"/>
      <c r="X34" s="119"/>
      <c r="Y34" s="248"/>
      <c r="Z34" s="248"/>
      <c r="AA34" s="296"/>
      <c r="AB34" s="296"/>
      <c r="AC34" s="296"/>
      <c r="AD34" s="296"/>
      <c r="AE34" s="296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52"/>
      <c r="BB34" s="119"/>
      <c r="BC34" s="248"/>
      <c r="BD34" s="248"/>
      <c r="BE34" s="248"/>
      <c r="BF34" s="248"/>
      <c r="BG34" s="248"/>
      <c r="BH34" s="248"/>
      <c r="BI34" s="319"/>
      <c r="BJ34" s="319"/>
      <c r="BK34" s="319"/>
      <c r="BL34" s="319"/>
      <c r="BM34" s="319"/>
      <c r="BN34" s="319"/>
      <c r="BO34" s="319"/>
      <c r="BP34" s="319"/>
      <c r="BQ34" s="319"/>
      <c r="BR34" s="319"/>
      <c r="BS34" s="319"/>
      <c r="BT34" s="319"/>
      <c r="BU34" s="319"/>
      <c r="BV34" s="319"/>
      <c r="BW34" s="319"/>
      <c r="BX34" s="319"/>
      <c r="BY34" s="319"/>
      <c r="BZ34" s="319"/>
      <c r="CA34" s="319"/>
      <c r="CB34" s="319"/>
      <c r="CC34" s="319"/>
      <c r="CD34" s="319"/>
      <c r="CE34" s="319"/>
      <c r="CF34" s="320"/>
      <c r="CG34" s="321"/>
      <c r="CH34" s="322"/>
      <c r="CI34" s="319"/>
      <c r="CJ34" s="319"/>
      <c r="CK34" s="319"/>
      <c r="CL34" s="362"/>
      <c r="CM34" s="362"/>
      <c r="CN34" s="362"/>
      <c r="CO34" s="362"/>
      <c r="CP34" s="362"/>
      <c r="CQ34" s="319"/>
      <c r="CR34" s="319"/>
      <c r="CS34" s="358"/>
      <c r="CT34" s="358"/>
      <c r="CU34" s="358"/>
      <c r="CV34" s="358"/>
      <c r="CW34" s="363"/>
      <c r="CX34" s="319"/>
      <c r="CY34" s="319"/>
      <c r="CZ34" s="319"/>
      <c r="DA34" s="319"/>
      <c r="DB34" s="319"/>
      <c r="DC34" s="319"/>
      <c r="DD34" s="319"/>
      <c r="DE34" s="319"/>
      <c r="DF34" s="319"/>
      <c r="DG34" s="319"/>
      <c r="DH34" s="319"/>
      <c r="DI34" s="319"/>
      <c r="DJ34" s="319"/>
      <c r="DK34" s="320"/>
      <c r="DL34" s="321"/>
      <c r="DM34" s="319"/>
      <c r="DN34" s="319"/>
      <c r="DO34" s="319"/>
      <c r="DP34" s="319"/>
      <c r="DQ34" s="319"/>
      <c r="DR34" s="319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121"/>
    </row>
    <row r="35" spans="1:145" s="4" customFormat="1" ht="12.75">
      <c r="A35" s="108" t="s">
        <v>2</v>
      </c>
      <c r="B35" s="343">
        <f>'P2P Estimates'!K17</f>
        <v>174</v>
      </c>
      <c r="C35" s="344">
        <f>'P2P Estimates'!Q17</f>
        <v>0.41428571428571426</v>
      </c>
      <c r="D35" s="345">
        <f>'P2P Estimates'!N17</f>
        <v>2.9</v>
      </c>
      <c r="F35" s="250"/>
      <c r="G35" s="249"/>
      <c r="H35" s="249"/>
      <c r="I35" s="249"/>
      <c r="J35" s="249"/>
      <c r="K35" s="249"/>
      <c r="L35" s="249"/>
      <c r="M35" s="249"/>
      <c r="N35" s="249"/>
      <c r="O35" s="249"/>
      <c r="P35" s="249"/>
      <c r="Q35" s="249"/>
      <c r="R35" s="249"/>
      <c r="S35" s="249"/>
      <c r="T35" s="249"/>
      <c r="U35" s="249"/>
      <c r="V35" s="249"/>
      <c r="W35" s="253"/>
      <c r="X35" s="250"/>
      <c r="Y35" s="249"/>
      <c r="Z35" s="249"/>
      <c r="AA35" s="297"/>
      <c r="AB35" s="297"/>
      <c r="AC35" s="297"/>
      <c r="AD35" s="297"/>
      <c r="AE35" s="297"/>
      <c r="AF35" s="249"/>
      <c r="AG35" s="249"/>
      <c r="AH35" s="249"/>
      <c r="AI35" s="249"/>
      <c r="AJ35" s="249"/>
      <c r="AK35" s="249"/>
      <c r="AL35" s="249"/>
      <c r="AM35" s="249"/>
      <c r="AN35" s="249"/>
      <c r="AO35" s="249"/>
      <c r="AP35" s="249"/>
      <c r="AQ35" s="249"/>
      <c r="AR35" s="249"/>
      <c r="AS35" s="249"/>
      <c r="AT35" s="249"/>
      <c r="AU35" s="249"/>
      <c r="AV35" s="249"/>
      <c r="AW35" s="249"/>
      <c r="AX35" s="249"/>
      <c r="AY35" s="249"/>
      <c r="AZ35" s="249"/>
      <c r="BA35" s="253"/>
      <c r="BB35" s="250"/>
      <c r="BC35" s="249"/>
      <c r="BD35" s="249"/>
      <c r="BE35" s="249"/>
      <c r="BF35" s="249"/>
      <c r="BG35" s="249"/>
      <c r="BH35" s="249"/>
      <c r="BI35" s="323"/>
      <c r="BJ35" s="323"/>
      <c r="BK35" s="323"/>
      <c r="BL35" s="323"/>
      <c r="BM35" s="323"/>
      <c r="BN35" s="323"/>
      <c r="BO35" s="323"/>
      <c r="BP35" s="323"/>
      <c r="BQ35" s="323"/>
      <c r="BR35" s="323"/>
      <c r="BS35" s="323"/>
      <c r="BT35" s="323"/>
      <c r="BU35" s="323"/>
      <c r="BV35" s="323"/>
      <c r="BW35" s="323"/>
      <c r="BX35" s="323"/>
      <c r="BY35" s="323"/>
      <c r="BZ35" s="323"/>
      <c r="CA35" s="323"/>
      <c r="CB35" s="323"/>
      <c r="CC35" s="323"/>
      <c r="CD35" s="323"/>
      <c r="CE35" s="323"/>
      <c r="CF35" s="324"/>
      <c r="CG35" s="325"/>
      <c r="CH35" s="326"/>
      <c r="CI35" s="323"/>
      <c r="CJ35" s="323"/>
      <c r="CK35" s="323"/>
      <c r="CL35" s="323"/>
      <c r="CM35" s="323"/>
      <c r="CN35" s="323"/>
      <c r="CO35" s="323"/>
      <c r="CP35" s="323"/>
      <c r="CQ35" s="323"/>
      <c r="CR35" s="323"/>
      <c r="CS35" s="323"/>
      <c r="CT35" s="323"/>
      <c r="CU35" s="323"/>
      <c r="CV35" s="323"/>
      <c r="CW35" s="323"/>
      <c r="CX35" s="323"/>
      <c r="CY35" s="323"/>
      <c r="CZ35" s="323"/>
      <c r="DA35" s="323"/>
      <c r="DB35" s="323"/>
      <c r="DC35" s="323"/>
      <c r="DD35" s="323"/>
      <c r="DE35" s="323"/>
      <c r="DF35" s="323"/>
      <c r="DG35" s="323"/>
      <c r="DH35" s="323"/>
      <c r="DI35" s="323"/>
      <c r="DJ35" s="323"/>
      <c r="DK35" s="324"/>
      <c r="DL35" s="325"/>
      <c r="DM35" s="323"/>
      <c r="DN35" s="312"/>
      <c r="DO35" s="323"/>
      <c r="DP35" s="323"/>
      <c r="DQ35" s="323"/>
      <c r="DR35" s="323"/>
      <c r="DS35" s="249"/>
      <c r="DT35" s="249"/>
      <c r="DU35" s="249"/>
      <c r="DV35" s="249"/>
      <c r="DW35" s="249"/>
      <c r="DX35" s="249"/>
      <c r="DY35" s="249"/>
      <c r="DZ35" s="249"/>
      <c r="EA35" s="249"/>
      <c r="EB35" s="249"/>
      <c r="EC35" s="249"/>
      <c r="ED35" s="249"/>
      <c r="EE35" s="249"/>
      <c r="EF35" s="249"/>
      <c r="EG35" s="249"/>
      <c r="EH35" s="249"/>
      <c r="EI35" s="249"/>
      <c r="EJ35" s="249"/>
      <c r="EK35" s="249"/>
      <c r="EL35" s="249"/>
      <c r="EM35" s="249"/>
      <c r="EN35" s="249"/>
      <c r="EO35" s="251"/>
    </row>
    <row r="36" spans="1:145" s="4" customFormat="1" ht="12.75">
      <c r="A36" s="108" t="s">
        <v>3</v>
      </c>
      <c r="B36" s="343">
        <f>'P2P Estimates'!K21</f>
        <v>492</v>
      </c>
      <c r="C36" s="344">
        <f>'P2P Estimates'!Q21</f>
        <v>1.1714285714285713</v>
      </c>
      <c r="D36" s="345">
        <f>'P2P Estimates'!N21</f>
        <v>8.2</v>
      </c>
      <c r="F36" s="250"/>
      <c r="G36" s="249"/>
      <c r="H36" s="249"/>
      <c r="I36" s="249"/>
      <c r="J36" s="249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53"/>
      <c r="X36" s="250"/>
      <c r="Y36" s="249"/>
      <c r="Z36" s="249"/>
      <c r="AA36" s="249"/>
      <c r="AB36" s="249"/>
      <c r="AC36" s="249"/>
      <c r="AD36" s="249"/>
      <c r="AE36" s="249"/>
      <c r="AF36" s="249"/>
      <c r="AG36" s="249"/>
      <c r="AH36" s="249"/>
      <c r="AI36" s="249"/>
      <c r="AJ36" s="249"/>
      <c r="AK36" s="249"/>
      <c r="AL36" s="249"/>
      <c r="AM36" s="249"/>
      <c r="AN36" s="249"/>
      <c r="AO36" s="249"/>
      <c r="AP36" s="249"/>
      <c r="AQ36" s="249"/>
      <c r="AR36" s="249"/>
      <c r="AS36" s="249"/>
      <c r="AT36" s="249"/>
      <c r="AU36" s="249"/>
      <c r="AV36" s="249"/>
      <c r="AW36" s="249"/>
      <c r="AX36" s="249"/>
      <c r="AY36" s="249"/>
      <c r="AZ36" s="249"/>
      <c r="BA36" s="253"/>
      <c r="BB36" s="250"/>
      <c r="BC36" s="249"/>
      <c r="BD36" s="249"/>
      <c r="BE36" s="249"/>
      <c r="BF36" s="249"/>
      <c r="BG36" s="249"/>
      <c r="BH36" s="249"/>
      <c r="BI36" s="323"/>
      <c r="BJ36" s="323"/>
      <c r="BK36" s="323"/>
      <c r="BL36" s="323"/>
      <c r="BM36" s="323"/>
      <c r="BN36" s="323"/>
      <c r="BO36" s="323"/>
      <c r="BP36" s="323"/>
      <c r="BQ36" s="323"/>
      <c r="BR36" s="323"/>
      <c r="BS36" s="323"/>
      <c r="BT36" s="323"/>
      <c r="BU36" s="323"/>
      <c r="BV36" s="323"/>
      <c r="BW36" s="323"/>
      <c r="BX36" s="323"/>
      <c r="BY36" s="323"/>
      <c r="BZ36" s="323"/>
      <c r="CA36" s="323"/>
      <c r="CB36" s="312"/>
      <c r="CC36" s="323"/>
      <c r="CD36" s="323"/>
      <c r="CE36" s="323"/>
      <c r="CF36" s="324"/>
      <c r="CG36" s="325"/>
      <c r="CH36" s="326"/>
      <c r="CI36" s="323"/>
      <c r="CJ36" s="323"/>
      <c r="CK36" s="323"/>
      <c r="CL36" s="323"/>
      <c r="CM36" s="323"/>
      <c r="CN36" s="323"/>
      <c r="CO36" s="323"/>
      <c r="CP36" s="323"/>
      <c r="CQ36" s="323"/>
      <c r="CR36" s="323"/>
      <c r="CS36" s="323"/>
      <c r="CT36" s="323"/>
      <c r="CU36" s="323"/>
      <c r="CV36" s="323"/>
      <c r="CW36" s="323"/>
      <c r="CX36" s="323"/>
      <c r="CY36" s="323"/>
      <c r="CZ36" s="323"/>
      <c r="DA36" s="323"/>
      <c r="DB36" s="323"/>
      <c r="DC36" s="323"/>
      <c r="DD36" s="323"/>
      <c r="DE36" s="323"/>
      <c r="DF36" s="323"/>
      <c r="DG36" s="323"/>
      <c r="DH36" s="323"/>
      <c r="DI36" s="323"/>
      <c r="DJ36" s="323"/>
      <c r="DK36" s="324"/>
      <c r="DL36" s="325"/>
      <c r="DM36" s="323"/>
      <c r="DN36" s="323"/>
      <c r="DO36" s="323"/>
      <c r="DP36" s="323"/>
      <c r="DQ36" s="323"/>
      <c r="DR36" s="323"/>
      <c r="DS36" s="249"/>
      <c r="DT36" s="249"/>
      <c r="DU36" s="249"/>
      <c r="DV36" s="249"/>
      <c r="DW36" s="249"/>
      <c r="DX36" s="249"/>
      <c r="DY36" s="249"/>
      <c r="DZ36" s="249"/>
      <c r="EA36" s="249"/>
      <c r="EB36" s="249"/>
      <c r="EC36" s="249"/>
      <c r="ED36" s="249"/>
      <c r="EE36" s="249"/>
      <c r="EF36" s="249"/>
      <c r="EG36" s="249"/>
      <c r="EH36" s="249"/>
      <c r="EI36" s="249"/>
      <c r="EJ36" s="249"/>
      <c r="EK36" s="249"/>
      <c r="EL36" s="249"/>
      <c r="EM36" s="249"/>
      <c r="EN36" s="249"/>
      <c r="EO36" s="251"/>
    </row>
    <row r="37" spans="1:145" s="4" customFormat="1" ht="12.75">
      <c r="A37" s="108" t="s">
        <v>22</v>
      </c>
      <c r="B37" s="343">
        <f>'P2P Estimates'!K23</f>
        <v>43</v>
      </c>
      <c r="C37" s="344">
        <f>'P2P Estimates'!Q23</f>
        <v>0.10238095238095239</v>
      </c>
      <c r="D37" s="345">
        <f>'P2P Estimates'!N23</f>
        <v>0.7166666666666667</v>
      </c>
      <c r="F37" s="250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49"/>
      <c r="T37" s="249"/>
      <c r="U37" s="249"/>
      <c r="V37" s="249"/>
      <c r="W37" s="253"/>
      <c r="X37" s="250"/>
      <c r="Y37" s="249"/>
      <c r="Z37" s="249"/>
      <c r="AA37" s="249"/>
      <c r="AB37" s="249"/>
      <c r="AC37" s="249"/>
      <c r="AD37" s="249"/>
      <c r="AE37" s="249"/>
      <c r="AF37" s="249"/>
      <c r="AG37" s="249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249"/>
      <c r="AX37" s="249"/>
      <c r="AY37" s="249"/>
      <c r="AZ37" s="249"/>
      <c r="BA37" s="253"/>
      <c r="BB37" s="250"/>
      <c r="BC37" s="249"/>
      <c r="BD37" s="249"/>
      <c r="BE37" s="249"/>
      <c r="BF37" s="249"/>
      <c r="BG37" s="249"/>
      <c r="BH37" s="249"/>
      <c r="BI37" s="323"/>
      <c r="BJ37" s="323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3"/>
      <c r="CA37" s="323"/>
      <c r="CB37" s="323"/>
      <c r="CC37" s="323"/>
      <c r="CD37" s="323"/>
      <c r="CE37" s="323"/>
      <c r="CF37" s="324"/>
      <c r="CG37" s="325"/>
      <c r="CH37" s="326"/>
      <c r="CI37" s="323"/>
      <c r="CJ37" s="323"/>
      <c r="CK37" s="323"/>
      <c r="CL37" s="323"/>
      <c r="CM37" s="323"/>
      <c r="CN37" s="323"/>
      <c r="CO37" s="323"/>
      <c r="CP37" s="323"/>
      <c r="CQ37" s="323"/>
      <c r="CR37" s="323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3"/>
      <c r="DI37" s="323"/>
      <c r="DJ37" s="323"/>
      <c r="DK37" s="324"/>
      <c r="DL37" s="325"/>
      <c r="DM37" s="323"/>
      <c r="DN37" s="323"/>
      <c r="DO37" s="312"/>
      <c r="DP37" s="323"/>
      <c r="DQ37" s="323"/>
      <c r="DR37" s="323"/>
      <c r="DS37" s="249"/>
      <c r="DT37" s="249"/>
      <c r="DU37" s="249"/>
      <c r="DV37" s="249"/>
      <c r="DW37" s="249"/>
      <c r="DX37" s="249"/>
      <c r="DY37" s="249"/>
      <c r="DZ37" s="249"/>
      <c r="EA37" s="249"/>
      <c r="EB37" s="249"/>
      <c r="EC37" s="249"/>
      <c r="ED37" s="249"/>
      <c r="EE37" s="249"/>
      <c r="EF37" s="249"/>
      <c r="EG37" s="249"/>
      <c r="EH37" s="249"/>
      <c r="EI37" s="249"/>
      <c r="EJ37" s="249"/>
      <c r="EK37" s="249"/>
      <c r="EL37" s="249"/>
      <c r="EM37" s="249"/>
      <c r="EN37" s="249"/>
      <c r="EO37" s="251"/>
    </row>
    <row r="38" spans="1:145" ht="12.75">
      <c r="A38" s="108" t="s">
        <v>23</v>
      </c>
      <c r="B38" s="343">
        <f>'P2P Estimates'!K24</f>
        <v>6336</v>
      </c>
      <c r="C38" s="344">
        <f>'P2P Estimates'!Q24</f>
        <v>15.085714285714285</v>
      </c>
      <c r="D38" s="345">
        <f>'P2P Estimates'!N24</f>
        <v>105.6</v>
      </c>
      <c r="F38" s="119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52"/>
      <c r="X38" s="119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52"/>
      <c r="BB38" s="119"/>
      <c r="BC38" s="248"/>
      <c r="BD38" s="248"/>
      <c r="BE38" s="248"/>
      <c r="BF38" s="248"/>
      <c r="BG38" s="248"/>
      <c r="BH38" s="248"/>
      <c r="BI38" s="319"/>
      <c r="BJ38" s="319"/>
      <c r="BK38" s="319"/>
      <c r="BL38" s="319"/>
      <c r="BM38" s="319"/>
      <c r="BN38" s="319"/>
      <c r="BO38" s="319"/>
      <c r="BP38" s="319"/>
      <c r="BQ38" s="319"/>
      <c r="BR38" s="319"/>
      <c r="BS38" s="319"/>
      <c r="BT38" s="319"/>
      <c r="BU38" s="319"/>
      <c r="BV38" s="319"/>
      <c r="BW38" s="319"/>
      <c r="BX38" s="319"/>
      <c r="BY38" s="319"/>
      <c r="BZ38" s="319"/>
      <c r="CA38" s="319"/>
      <c r="CB38" s="319"/>
      <c r="CC38" s="319"/>
      <c r="CD38" s="319"/>
      <c r="CE38" s="319"/>
      <c r="CF38" s="320"/>
      <c r="CG38" s="321"/>
      <c r="CH38" s="322"/>
      <c r="CI38" s="319"/>
      <c r="CJ38" s="319"/>
      <c r="CK38" s="319"/>
      <c r="CL38" s="319"/>
      <c r="CM38" s="319"/>
      <c r="CN38" s="319"/>
      <c r="CO38" s="319"/>
      <c r="CP38" s="319"/>
      <c r="CQ38" s="319"/>
      <c r="CR38" s="319"/>
      <c r="CS38" s="339"/>
      <c r="CT38" s="339"/>
      <c r="CU38" s="339"/>
      <c r="CV38" s="339"/>
      <c r="CW38" s="339"/>
      <c r="CX38" s="319"/>
      <c r="CY38" s="319"/>
      <c r="CZ38" s="304"/>
      <c r="DA38" s="304"/>
      <c r="DB38" s="304"/>
      <c r="DC38" s="304"/>
      <c r="DD38" s="304"/>
      <c r="DE38" s="319"/>
      <c r="DF38" s="319"/>
      <c r="DG38" s="304"/>
      <c r="DH38" s="304"/>
      <c r="DI38" s="304"/>
      <c r="DJ38" s="304"/>
      <c r="DK38" s="309"/>
      <c r="DL38" s="321"/>
      <c r="DM38" s="319"/>
      <c r="DN38" s="319"/>
      <c r="DO38" s="319"/>
      <c r="DP38" s="319"/>
      <c r="DQ38" s="319"/>
      <c r="DR38" s="319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48"/>
      <c r="EL38" s="248"/>
      <c r="EM38" s="248"/>
      <c r="EN38" s="248"/>
      <c r="EO38" s="121"/>
    </row>
    <row r="39" spans="1:145" ht="12.75">
      <c r="A39" s="108" t="s">
        <v>24</v>
      </c>
      <c r="B39" s="343">
        <f>'P2P Estimates'!K29</f>
        <v>268</v>
      </c>
      <c r="C39" s="344">
        <f>'P2P Estimates'!Q29</f>
        <v>0.6380952380952382</v>
      </c>
      <c r="D39" s="345">
        <f>'P2P Estimates'!N29</f>
        <v>4.466666666666667</v>
      </c>
      <c r="F39" s="119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52"/>
      <c r="X39" s="119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52"/>
      <c r="BB39" s="119"/>
      <c r="BC39" s="248"/>
      <c r="BD39" s="248"/>
      <c r="BE39" s="248"/>
      <c r="BF39" s="248"/>
      <c r="BG39" s="248"/>
      <c r="BH39" s="248"/>
      <c r="BI39" s="319"/>
      <c r="BJ39" s="319"/>
      <c r="BK39" s="319"/>
      <c r="BL39" s="319"/>
      <c r="BM39" s="319"/>
      <c r="BN39" s="319"/>
      <c r="BO39" s="319"/>
      <c r="BP39" s="319"/>
      <c r="BQ39" s="319"/>
      <c r="BR39" s="319"/>
      <c r="BS39" s="319"/>
      <c r="BT39" s="319"/>
      <c r="BU39" s="319"/>
      <c r="BV39" s="319"/>
      <c r="BW39" s="319"/>
      <c r="BX39" s="319"/>
      <c r="BY39" s="319"/>
      <c r="BZ39" s="319"/>
      <c r="CA39" s="319"/>
      <c r="CB39" s="319"/>
      <c r="CC39" s="319"/>
      <c r="CD39" s="319"/>
      <c r="CE39" s="319"/>
      <c r="CF39" s="320"/>
      <c r="CG39" s="321"/>
      <c r="CH39" s="322"/>
      <c r="CI39" s="319"/>
      <c r="CJ39" s="319"/>
      <c r="CK39" s="319"/>
      <c r="CL39" s="319"/>
      <c r="CM39" s="319"/>
      <c r="CN39" s="319"/>
      <c r="CO39" s="319"/>
      <c r="CP39" s="319"/>
      <c r="CQ39" s="319"/>
      <c r="CR39" s="319"/>
      <c r="CS39" s="319"/>
      <c r="CT39" s="319"/>
      <c r="CU39" s="319"/>
      <c r="CV39" s="319"/>
      <c r="CW39" s="319"/>
      <c r="CX39" s="319"/>
      <c r="CY39" s="319"/>
      <c r="CZ39" s="319"/>
      <c r="DA39" s="319"/>
      <c r="DB39" s="319"/>
      <c r="DC39" s="319"/>
      <c r="DD39" s="319"/>
      <c r="DE39" s="319"/>
      <c r="DF39" s="319"/>
      <c r="DG39" s="319"/>
      <c r="DH39" s="319"/>
      <c r="DI39" s="319"/>
      <c r="DJ39" s="319"/>
      <c r="DK39" s="320"/>
      <c r="DL39" s="321"/>
      <c r="DM39" s="319"/>
      <c r="DN39" s="319"/>
      <c r="DO39" s="319"/>
      <c r="DP39" s="304"/>
      <c r="DQ39" s="319"/>
      <c r="DR39" s="319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8"/>
      <c r="EM39" s="248"/>
      <c r="EN39" s="248"/>
      <c r="EO39" s="121"/>
    </row>
    <row r="40" spans="1:145" ht="13.5" customHeight="1">
      <c r="A40" s="108" t="s">
        <v>25</v>
      </c>
      <c r="B40" s="343">
        <f>'P2P Estimates'!K31</f>
        <v>126</v>
      </c>
      <c r="C40" s="344">
        <f>'P2P Estimates'!Q31</f>
        <v>0.30000000000000004</v>
      </c>
      <c r="D40" s="345">
        <f>'P2P Estimates'!N31</f>
        <v>2.1</v>
      </c>
      <c r="F40" s="119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52"/>
      <c r="X40" s="119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52"/>
      <c r="BB40" s="119"/>
      <c r="BC40" s="248"/>
      <c r="BD40" s="248"/>
      <c r="BE40" s="248"/>
      <c r="BF40" s="248"/>
      <c r="BG40" s="248"/>
      <c r="BH40" s="248"/>
      <c r="BI40" s="319"/>
      <c r="BJ40" s="319"/>
      <c r="BK40" s="319"/>
      <c r="BL40" s="319"/>
      <c r="BM40" s="319"/>
      <c r="BN40" s="319"/>
      <c r="BO40" s="319"/>
      <c r="BP40" s="319"/>
      <c r="BQ40" s="319"/>
      <c r="BR40" s="319"/>
      <c r="BS40" s="319"/>
      <c r="BT40" s="319"/>
      <c r="BU40" s="319"/>
      <c r="BV40" s="319"/>
      <c r="BW40" s="319"/>
      <c r="BX40" s="319"/>
      <c r="BY40" s="319"/>
      <c r="BZ40" s="319"/>
      <c r="CA40" s="319"/>
      <c r="CB40" s="319"/>
      <c r="CC40" s="319"/>
      <c r="CD40" s="319"/>
      <c r="CE40" s="319"/>
      <c r="CF40" s="320"/>
      <c r="CG40" s="321"/>
      <c r="CH40" s="322"/>
      <c r="CI40" s="319"/>
      <c r="CJ40" s="319"/>
      <c r="CK40" s="319"/>
      <c r="CL40" s="319"/>
      <c r="CM40" s="319"/>
      <c r="CN40" s="319"/>
      <c r="CO40" s="319"/>
      <c r="CP40" s="319"/>
      <c r="CQ40" s="319"/>
      <c r="CR40" s="319"/>
      <c r="CS40" s="319"/>
      <c r="CT40" s="319"/>
      <c r="CU40" s="319"/>
      <c r="CV40" s="319"/>
      <c r="CW40" s="319"/>
      <c r="CX40" s="319"/>
      <c r="CY40" s="319"/>
      <c r="CZ40" s="319"/>
      <c r="DA40" s="319"/>
      <c r="DB40" s="319"/>
      <c r="DC40" s="319"/>
      <c r="DD40" s="319"/>
      <c r="DE40" s="319"/>
      <c r="DF40" s="319"/>
      <c r="DG40" s="319"/>
      <c r="DH40" s="319"/>
      <c r="DI40" s="319"/>
      <c r="DJ40" s="319"/>
      <c r="DK40" s="320"/>
      <c r="DL40" s="321"/>
      <c r="DM40" s="319"/>
      <c r="DN40" s="319"/>
      <c r="DO40" s="319"/>
      <c r="DP40" s="319"/>
      <c r="DQ40" s="304"/>
      <c r="DR40" s="319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121"/>
    </row>
    <row r="41" spans="1:145" ht="12.75">
      <c r="A41" s="108" t="s">
        <v>26</v>
      </c>
      <c r="B41" s="343">
        <f>'P2P Estimates'!K32</f>
        <v>1983</v>
      </c>
      <c r="C41" s="344">
        <f>'P2P Estimates'!Q32</f>
        <v>4.721428571428571</v>
      </c>
      <c r="D41" s="345">
        <f>'P2P Estimates'!N32</f>
        <v>33.05</v>
      </c>
      <c r="F41" s="119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52"/>
      <c r="X41" s="119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52"/>
      <c r="BB41" s="119"/>
      <c r="BC41" s="248"/>
      <c r="BD41" s="248"/>
      <c r="BE41" s="248"/>
      <c r="BF41" s="248"/>
      <c r="BG41" s="248"/>
      <c r="BH41" s="248"/>
      <c r="BI41" s="319"/>
      <c r="BJ41" s="319"/>
      <c r="BK41" s="319"/>
      <c r="BL41" s="319"/>
      <c r="BM41" s="319"/>
      <c r="BN41" s="319"/>
      <c r="BO41" s="319"/>
      <c r="BP41" s="319"/>
      <c r="BQ41" s="319"/>
      <c r="BR41" s="319"/>
      <c r="BS41" s="319"/>
      <c r="BT41" s="319"/>
      <c r="BU41" s="319"/>
      <c r="BV41" s="319"/>
      <c r="BW41" s="319"/>
      <c r="BX41" s="319"/>
      <c r="BY41" s="319"/>
      <c r="BZ41" s="319"/>
      <c r="CA41" s="319"/>
      <c r="CB41" s="319"/>
      <c r="CC41" s="319"/>
      <c r="CD41" s="319"/>
      <c r="CE41" s="319"/>
      <c r="CF41" s="320"/>
      <c r="CG41" s="321"/>
      <c r="CH41" s="322"/>
      <c r="CI41" s="319"/>
      <c r="CJ41" s="319"/>
      <c r="CK41" s="319"/>
      <c r="CL41" s="319"/>
      <c r="CM41" s="319"/>
      <c r="CN41" s="319"/>
      <c r="CO41" s="319"/>
      <c r="CP41" s="319"/>
      <c r="CQ41" s="319"/>
      <c r="CR41" s="319"/>
      <c r="CS41" s="319"/>
      <c r="CT41" s="319"/>
      <c r="CU41" s="319"/>
      <c r="CV41" s="319"/>
      <c r="CW41" s="319"/>
      <c r="CX41" s="319"/>
      <c r="CY41" s="319"/>
      <c r="CZ41" s="304"/>
      <c r="DA41" s="304"/>
      <c r="DB41" s="304"/>
      <c r="DC41" s="304"/>
      <c r="DD41" s="304"/>
      <c r="DE41" s="319"/>
      <c r="DF41" s="319"/>
      <c r="DG41" s="319"/>
      <c r="DH41" s="319"/>
      <c r="DI41" s="319"/>
      <c r="DJ41" s="319"/>
      <c r="DK41" s="320"/>
      <c r="DL41" s="321"/>
      <c r="DM41" s="319"/>
      <c r="DN41" s="319"/>
      <c r="DO41" s="319"/>
      <c r="DP41" s="319"/>
      <c r="DQ41" s="319"/>
      <c r="DR41" s="319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121"/>
    </row>
    <row r="42" spans="1:145" ht="12.75">
      <c r="A42" s="108" t="s">
        <v>68</v>
      </c>
      <c r="B42" s="343">
        <f>'P2P Estimates'!K36</f>
        <v>368</v>
      </c>
      <c r="C42" s="344">
        <f>'P2P Estimates'!Q36</f>
        <v>0.8761904761904762</v>
      </c>
      <c r="D42" s="345">
        <f>'P2P Estimates'!N36</f>
        <v>6.133333333333334</v>
      </c>
      <c r="F42" s="119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52"/>
      <c r="X42" s="119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52"/>
      <c r="BB42" s="119"/>
      <c r="BC42" s="248"/>
      <c r="BD42" s="248"/>
      <c r="BE42" s="248"/>
      <c r="BF42" s="248"/>
      <c r="BG42" s="248"/>
      <c r="BH42" s="248"/>
      <c r="BI42" s="319"/>
      <c r="BJ42" s="319"/>
      <c r="BK42" s="319"/>
      <c r="BL42" s="319"/>
      <c r="BM42" s="319"/>
      <c r="BN42" s="319"/>
      <c r="BO42" s="319"/>
      <c r="BP42" s="319"/>
      <c r="BQ42" s="319"/>
      <c r="BR42" s="319"/>
      <c r="BS42" s="319"/>
      <c r="BT42" s="319"/>
      <c r="BU42" s="319"/>
      <c r="BV42" s="319"/>
      <c r="BW42" s="319"/>
      <c r="BX42" s="319"/>
      <c r="BY42" s="319"/>
      <c r="BZ42" s="319"/>
      <c r="CA42" s="319"/>
      <c r="CB42" s="319"/>
      <c r="CC42" s="319"/>
      <c r="CD42" s="319"/>
      <c r="CE42" s="319"/>
      <c r="CF42" s="320"/>
      <c r="CG42" s="321"/>
      <c r="CH42" s="322"/>
      <c r="CI42" s="319"/>
      <c r="CJ42" s="319"/>
      <c r="CK42" s="319"/>
      <c r="CL42" s="319"/>
      <c r="CM42" s="319"/>
      <c r="CN42" s="319"/>
      <c r="CO42" s="319"/>
      <c r="CP42" s="319"/>
      <c r="CQ42" s="319"/>
      <c r="CR42" s="319"/>
      <c r="CS42" s="319"/>
      <c r="CT42" s="319"/>
      <c r="CU42" s="319"/>
      <c r="CV42" s="319"/>
      <c r="CW42" s="319"/>
      <c r="CX42" s="319"/>
      <c r="CY42" s="319"/>
      <c r="CZ42" s="319"/>
      <c r="DA42" s="319"/>
      <c r="DB42" s="319"/>
      <c r="DC42" s="319"/>
      <c r="DD42" s="319"/>
      <c r="DE42" s="319"/>
      <c r="DF42" s="319"/>
      <c r="DG42" s="319"/>
      <c r="DH42" s="319"/>
      <c r="DI42" s="319"/>
      <c r="DJ42" s="319"/>
      <c r="DK42" s="320"/>
      <c r="DL42" s="321"/>
      <c r="DM42" s="319"/>
      <c r="DN42" s="319"/>
      <c r="DO42" s="319"/>
      <c r="DP42" s="319"/>
      <c r="DQ42" s="319"/>
      <c r="DR42" s="304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121"/>
    </row>
    <row r="43" spans="1:145" ht="12.75">
      <c r="A43" s="108" t="s">
        <v>78</v>
      </c>
      <c r="B43" s="343">
        <f>'P2P Estimates'!K37</f>
        <v>2373</v>
      </c>
      <c r="C43" s="344">
        <f>'P2P Estimates'!Q37</f>
        <v>5.6499999999999995</v>
      </c>
      <c r="D43" s="345">
        <f>'P2P Estimates'!N37</f>
        <v>39.55</v>
      </c>
      <c r="F43" s="119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52"/>
      <c r="X43" s="119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52"/>
      <c r="BB43" s="119"/>
      <c r="BC43" s="248"/>
      <c r="BD43" s="248"/>
      <c r="BE43" s="248"/>
      <c r="BF43" s="248"/>
      <c r="BG43" s="248"/>
      <c r="BH43" s="248"/>
      <c r="BI43" s="319"/>
      <c r="BJ43" s="319"/>
      <c r="BK43" s="319"/>
      <c r="BL43" s="319"/>
      <c r="BM43" s="319"/>
      <c r="BN43" s="319"/>
      <c r="BO43" s="319"/>
      <c r="BP43" s="319"/>
      <c r="BQ43" s="319"/>
      <c r="BR43" s="319"/>
      <c r="BS43" s="319"/>
      <c r="BT43" s="319"/>
      <c r="BU43" s="319"/>
      <c r="BV43" s="319"/>
      <c r="BW43" s="319"/>
      <c r="BX43" s="319"/>
      <c r="BY43" s="319"/>
      <c r="BZ43" s="319"/>
      <c r="CA43" s="319"/>
      <c r="CB43" s="319"/>
      <c r="CC43" s="319"/>
      <c r="CD43" s="319"/>
      <c r="CE43" s="319"/>
      <c r="CF43" s="320"/>
      <c r="CG43" s="321"/>
      <c r="CH43" s="322"/>
      <c r="CI43" s="319"/>
      <c r="CJ43" s="319"/>
      <c r="CK43" s="319"/>
      <c r="CL43" s="319"/>
      <c r="CM43" s="319"/>
      <c r="CN43" s="319"/>
      <c r="CO43" s="319"/>
      <c r="CP43" s="319"/>
      <c r="CQ43" s="319"/>
      <c r="CR43" s="319"/>
      <c r="CS43" s="319"/>
      <c r="CT43" s="319"/>
      <c r="CU43" s="319"/>
      <c r="CV43" s="319"/>
      <c r="CW43" s="319"/>
      <c r="CX43" s="319"/>
      <c r="CY43" s="319"/>
      <c r="CZ43" s="319"/>
      <c r="DA43" s="319"/>
      <c r="DB43" s="319"/>
      <c r="DC43" s="319"/>
      <c r="DD43" s="319"/>
      <c r="DE43" s="319"/>
      <c r="DF43" s="319"/>
      <c r="DG43" s="304"/>
      <c r="DH43" s="304"/>
      <c r="DI43" s="304"/>
      <c r="DJ43" s="304"/>
      <c r="DK43" s="309"/>
      <c r="DL43" s="321"/>
      <c r="DM43" s="319"/>
      <c r="DN43" s="319"/>
      <c r="DO43" s="319"/>
      <c r="DP43" s="319"/>
      <c r="DQ43" s="319"/>
      <c r="DR43" s="319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121"/>
    </row>
    <row r="44" spans="1:145" ht="12.75">
      <c r="A44" s="290" t="s">
        <v>151</v>
      </c>
      <c r="B44" s="351">
        <f>'P2P Estimates'!K38/3</f>
        <v>8880.333333333334</v>
      </c>
      <c r="C44" s="352">
        <f>'P2P Estimates'!Q38/3</f>
        <v>21.143650793650792</v>
      </c>
      <c r="D44" s="353">
        <f>'P2P Estimates'!N38/3</f>
        <v>148.00555555555556</v>
      </c>
      <c r="F44" s="291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3"/>
      <c r="X44" s="291"/>
      <c r="Y44" s="292"/>
      <c r="Z44" s="292"/>
      <c r="AA44" s="292"/>
      <c r="AB44" s="292"/>
      <c r="AC44" s="292"/>
      <c r="AD44" s="292"/>
      <c r="AE44" s="292"/>
      <c r="AF44" s="292"/>
      <c r="AG44" s="292"/>
      <c r="AH44" s="362"/>
      <c r="AI44" s="362"/>
      <c r="AJ44" s="362"/>
      <c r="AK44" s="362"/>
      <c r="AL44" s="362"/>
      <c r="AM44" s="299"/>
      <c r="AN44" s="299"/>
      <c r="AO44" s="359"/>
      <c r="AP44" s="359"/>
      <c r="AQ44" s="359"/>
      <c r="AR44" s="359"/>
      <c r="AS44" s="364"/>
      <c r="AT44" s="299"/>
      <c r="AU44" s="299"/>
      <c r="AV44" s="359"/>
      <c r="AW44" s="359"/>
      <c r="AX44" s="359"/>
      <c r="AY44" s="359"/>
      <c r="AZ44" s="359"/>
      <c r="BA44" s="300"/>
      <c r="BB44" s="301"/>
      <c r="BC44" s="359"/>
      <c r="BD44" s="359"/>
      <c r="BE44" s="359"/>
      <c r="BF44" s="359"/>
      <c r="BG44" s="359"/>
      <c r="BH44" s="292"/>
      <c r="BI44" s="334"/>
      <c r="BJ44" s="359"/>
      <c r="BK44" s="359"/>
      <c r="BL44" s="359"/>
      <c r="BM44" s="359"/>
      <c r="BN44" s="359"/>
      <c r="BO44" s="334"/>
      <c r="BP44" s="334"/>
      <c r="BQ44" s="359"/>
      <c r="BR44" s="364"/>
      <c r="BS44" s="334"/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5"/>
      <c r="CG44" s="336"/>
      <c r="CH44" s="337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4"/>
      <c r="CW44" s="334"/>
      <c r="CX44" s="334"/>
      <c r="CY44" s="334"/>
      <c r="CZ44" s="334"/>
      <c r="DA44" s="334"/>
      <c r="DB44" s="334"/>
      <c r="DC44" s="334"/>
      <c r="DD44" s="334"/>
      <c r="DE44" s="334"/>
      <c r="DF44" s="334"/>
      <c r="DG44" s="334"/>
      <c r="DH44" s="334"/>
      <c r="DI44" s="334"/>
      <c r="DJ44" s="334"/>
      <c r="DK44" s="335"/>
      <c r="DL44" s="336"/>
      <c r="DM44" s="334"/>
      <c r="DN44" s="334"/>
      <c r="DO44" s="334"/>
      <c r="DP44" s="334"/>
      <c r="DQ44" s="334"/>
      <c r="DR44" s="334"/>
      <c r="DS44" s="292"/>
      <c r="DT44" s="292"/>
      <c r="DU44" s="292"/>
      <c r="DV44" s="292"/>
      <c r="DW44" s="292"/>
      <c r="DX44" s="292"/>
      <c r="DY44" s="292"/>
      <c r="DZ44" s="292"/>
      <c r="EA44" s="292"/>
      <c r="EB44" s="292"/>
      <c r="EC44" s="292"/>
      <c r="ED44" s="292"/>
      <c r="EE44" s="292"/>
      <c r="EF44" s="292"/>
      <c r="EG44" s="292"/>
      <c r="EH44" s="292"/>
      <c r="EI44" s="292"/>
      <c r="EJ44" s="292"/>
      <c r="EK44" s="292"/>
      <c r="EL44" s="292"/>
      <c r="EM44" s="292"/>
      <c r="EN44" s="292"/>
      <c r="EO44" s="294"/>
    </row>
    <row r="45" spans="1:145" ht="12.75">
      <c r="A45" s="290" t="s">
        <v>152</v>
      </c>
      <c r="B45" s="351">
        <f>'P2P Estimates'!K38/3</f>
        <v>8880.333333333334</v>
      </c>
      <c r="C45" s="352">
        <f>'P2P Estimates'!Q38/3</f>
        <v>21.143650793650792</v>
      </c>
      <c r="D45" s="353">
        <f>'P2P Estimates'!N38/3</f>
        <v>148.00555555555556</v>
      </c>
      <c r="F45" s="291"/>
      <c r="G45" s="292"/>
      <c r="H45" s="292"/>
      <c r="I45" s="292"/>
      <c r="J45" s="292"/>
      <c r="K45" s="292"/>
      <c r="L45" s="292"/>
      <c r="M45" s="292"/>
      <c r="N45" s="292"/>
      <c r="O45" s="292"/>
      <c r="P45" s="292"/>
      <c r="Q45" s="292"/>
      <c r="R45" s="292"/>
      <c r="S45" s="292"/>
      <c r="T45" s="292"/>
      <c r="U45" s="292"/>
      <c r="V45" s="292"/>
      <c r="W45" s="293"/>
      <c r="X45" s="291"/>
      <c r="Y45" s="292"/>
      <c r="Z45" s="292"/>
      <c r="AA45" s="292"/>
      <c r="AB45" s="292"/>
      <c r="AC45" s="292"/>
      <c r="AD45" s="292"/>
      <c r="AE45" s="292"/>
      <c r="AF45" s="292"/>
      <c r="AG45" s="292"/>
      <c r="AH45" s="299"/>
      <c r="AI45" s="299"/>
      <c r="AJ45" s="299"/>
      <c r="AK45" s="299"/>
      <c r="AL45" s="299"/>
      <c r="AM45" s="299"/>
      <c r="AN45" s="299"/>
      <c r="AO45" s="359"/>
      <c r="AP45" s="359"/>
      <c r="AQ45" s="359"/>
      <c r="AR45" s="359"/>
      <c r="AS45" s="364"/>
      <c r="AT45" s="299"/>
      <c r="AU45" s="299"/>
      <c r="AV45" s="359"/>
      <c r="AW45" s="359"/>
      <c r="AX45" s="359"/>
      <c r="AY45" s="359"/>
      <c r="AZ45" s="359"/>
      <c r="BA45" s="300"/>
      <c r="BB45" s="301"/>
      <c r="BC45" s="359"/>
      <c r="BD45" s="359"/>
      <c r="BE45" s="359"/>
      <c r="BF45" s="359"/>
      <c r="BG45" s="359"/>
      <c r="BH45" s="292"/>
      <c r="BI45" s="292"/>
      <c r="BJ45" s="359"/>
      <c r="BK45" s="359"/>
      <c r="BL45" s="359"/>
      <c r="BM45" s="359"/>
      <c r="BN45" s="359"/>
      <c r="BO45" s="292"/>
      <c r="BP45" s="292"/>
      <c r="BQ45" s="359"/>
      <c r="BR45" s="364"/>
      <c r="BS45" s="292"/>
      <c r="BT45" s="292"/>
      <c r="BU45" s="292"/>
      <c r="BV45" s="292"/>
      <c r="BW45" s="292"/>
      <c r="BX45" s="292"/>
      <c r="BY45" s="292"/>
      <c r="BZ45" s="292"/>
      <c r="CA45" s="292"/>
      <c r="CB45" s="292"/>
      <c r="CC45" s="292"/>
      <c r="CD45" s="292"/>
      <c r="CE45" s="292"/>
      <c r="CF45" s="294"/>
      <c r="CG45" s="291"/>
      <c r="CH45" s="295"/>
      <c r="CI45" s="292"/>
      <c r="CJ45" s="292"/>
      <c r="CK45" s="292"/>
      <c r="CL45" s="292"/>
      <c r="CM45" s="292"/>
      <c r="CN45" s="292"/>
      <c r="CO45" s="292"/>
      <c r="CP45" s="292"/>
      <c r="CQ45" s="292"/>
      <c r="CR45" s="292"/>
      <c r="CS45" s="292"/>
      <c r="CT45" s="292"/>
      <c r="CU45" s="292"/>
      <c r="CV45" s="292"/>
      <c r="CW45" s="292"/>
      <c r="CX45" s="292"/>
      <c r="CY45" s="292"/>
      <c r="CZ45" s="292"/>
      <c r="DA45" s="292"/>
      <c r="DB45" s="292"/>
      <c r="DC45" s="292"/>
      <c r="DD45" s="292"/>
      <c r="DE45" s="292"/>
      <c r="DF45" s="292"/>
      <c r="DG45" s="292"/>
      <c r="DH45" s="292"/>
      <c r="DI45" s="292"/>
      <c r="DJ45" s="292"/>
      <c r="DK45" s="294"/>
      <c r="DL45" s="291"/>
      <c r="DM45" s="292"/>
      <c r="DN45" s="292"/>
      <c r="DO45" s="292"/>
      <c r="DP45" s="292"/>
      <c r="DQ45" s="292"/>
      <c r="DR45" s="292"/>
      <c r="DS45" s="292"/>
      <c r="DT45" s="292"/>
      <c r="DU45" s="292"/>
      <c r="DV45" s="292"/>
      <c r="DW45" s="292"/>
      <c r="DX45" s="292"/>
      <c r="DY45" s="292"/>
      <c r="DZ45" s="292"/>
      <c r="EA45" s="292"/>
      <c r="EB45" s="292"/>
      <c r="EC45" s="292"/>
      <c r="ED45" s="292"/>
      <c r="EE45" s="292"/>
      <c r="EF45" s="292"/>
      <c r="EG45" s="292"/>
      <c r="EH45" s="292"/>
      <c r="EI45" s="292"/>
      <c r="EJ45" s="292"/>
      <c r="EK45" s="292"/>
      <c r="EL45" s="292"/>
      <c r="EM45" s="292"/>
      <c r="EN45" s="292"/>
      <c r="EO45" s="294"/>
    </row>
    <row r="46" spans="1:145" ht="13.5" thickBot="1">
      <c r="A46" s="316" t="s">
        <v>153</v>
      </c>
      <c r="B46" s="346">
        <f>'P2P Estimates'!K38/3</f>
        <v>8880.333333333334</v>
      </c>
      <c r="C46" s="347">
        <f>'P2P Estimates'!Q38/3</f>
        <v>21.143650793650792</v>
      </c>
      <c r="D46" s="348">
        <f>'P2P Estimates'!N38/3</f>
        <v>148.00555555555556</v>
      </c>
      <c r="F46" s="120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254"/>
      <c r="X46" s="120"/>
      <c r="Y46" s="63"/>
      <c r="Z46" s="63"/>
      <c r="AA46" s="63"/>
      <c r="AB46" s="63"/>
      <c r="AC46" s="63"/>
      <c r="AD46" s="63"/>
      <c r="AE46" s="63"/>
      <c r="AF46" s="63"/>
      <c r="AG46" s="63"/>
      <c r="AH46" s="298"/>
      <c r="AI46" s="298"/>
      <c r="AJ46" s="298"/>
      <c r="AK46" s="298"/>
      <c r="AL46" s="298"/>
      <c r="AM46" s="298"/>
      <c r="AN46" s="298"/>
      <c r="AO46" s="360"/>
      <c r="AP46" s="360"/>
      <c r="AQ46" s="360"/>
      <c r="AR46" s="360"/>
      <c r="AS46" s="365"/>
      <c r="AT46" s="298"/>
      <c r="AU46" s="298"/>
      <c r="AV46" s="360"/>
      <c r="AW46" s="360"/>
      <c r="AX46" s="360"/>
      <c r="AY46" s="360"/>
      <c r="AZ46" s="360"/>
      <c r="BA46" s="302"/>
      <c r="BB46" s="303"/>
      <c r="BC46" s="360"/>
      <c r="BD46" s="360"/>
      <c r="BE46" s="360"/>
      <c r="BF46" s="360"/>
      <c r="BG46" s="360"/>
      <c r="BH46" s="63"/>
      <c r="BI46" s="63"/>
      <c r="BJ46" s="360"/>
      <c r="BK46" s="360"/>
      <c r="BL46" s="360"/>
      <c r="BM46" s="360"/>
      <c r="BN46" s="360"/>
      <c r="BO46" s="63"/>
      <c r="BP46" s="63"/>
      <c r="BQ46" s="360"/>
      <c r="BR46" s="365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122"/>
      <c r="CG46" s="120"/>
      <c r="CH46" s="255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122"/>
      <c r="DL46" s="120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122"/>
    </row>
    <row r="47" spans="2:4" ht="12.75">
      <c r="B47" s="338"/>
      <c r="C47" s="13"/>
      <c r="D47" s="13"/>
    </row>
    <row r="48" spans="3:31" ht="13.5" thickBot="1">
      <c r="C48" s="13"/>
      <c r="D48" s="13"/>
      <c r="AE48" s="387"/>
    </row>
    <row r="49" spans="3:31" ht="18">
      <c r="C49" s="13"/>
      <c r="D49" s="13"/>
      <c r="X49" s="432" t="s">
        <v>211</v>
      </c>
      <c r="Y49" s="433"/>
      <c r="Z49" s="433"/>
      <c r="AA49" s="433"/>
      <c r="AB49" s="433"/>
      <c r="AC49" s="433"/>
      <c r="AD49" s="382"/>
      <c r="AE49" s="367"/>
    </row>
    <row r="50" spans="3:31" ht="18">
      <c r="C50" s="13"/>
      <c r="D50" s="378"/>
      <c r="X50" s="379" t="s">
        <v>216</v>
      </c>
      <c r="Y50" s="380"/>
      <c r="Z50" s="380"/>
      <c r="AA50" s="380"/>
      <c r="AB50" s="380"/>
      <c r="AC50" s="380"/>
      <c r="AD50" s="383"/>
      <c r="AE50" s="381"/>
    </row>
    <row r="51" spans="1:31" ht="18">
      <c r="A51" s="256" t="s">
        <v>5</v>
      </c>
      <c r="C51" s="13"/>
      <c r="D51" s="13"/>
      <c r="X51" s="368" t="s">
        <v>214</v>
      </c>
      <c r="Y51" s="369"/>
      <c r="Z51" s="370"/>
      <c r="AA51" s="369"/>
      <c r="AB51" s="369"/>
      <c r="AC51" s="369"/>
      <c r="AD51" s="384"/>
      <c r="AE51" s="371"/>
    </row>
    <row r="52" spans="3:31" ht="18">
      <c r="C52" s="13"/>
      <c r="D52" s="13"/>
      <c r="X52" s="372" t="s">
        <v>215</v>
      </c>
      <c r="Y52" s="373"/>
      <c r="Z52" s="373"/>
      <c r="AA52" s="373"/>
      <c r="AB52" s="373"/>
      <c r="AC52" s="373"/>
      <c r="AD52" s="385"/>
      <c r="AE52" s="374"/>
    </row>
    <row r="53" spans="3:31" ht="18.75" thickBot="1">
      <c r="C53" s="13"/>
      <c r="D53" s="13"/>
      <c r="X53" s="375" t="s">
        <v>213</v>
      </c>
      <c r="Y53" s="376"/>
      <c r="Z53" s="376"/>
      <c r="AA53" s="376"/>
      <c r="AB53" s="376"/>
      <c r="AC53" s="376"/>
      <c r="AD53" s="386"/>
      <c r="AE53" s="377"/>
    </row>
  </sheetData>
  <mergeCells count="10">
    <mergeCell ref="X49:AC49"/>
    <mergeCell ref="A1:A2"/>
    <mergeCell ref="C1:C2"/>
    <mergeCell ref="D1:D2"/>
    <mergeCell ref="F1:W1"/>
    <mergeCell ref="B1:B2"/>
    <mergeCell ref="DL1:EO1"/>
    <mergeCell ref="X1:BA1"/>
    <mergeCell ref="BB1:CF1"/>
    <mergeCell ref="CG1:DK1"/>
  </mergeCells>
  <printOptions/>
  <pageMargins left="0.17" right="0.13" top="0.52" bottom="0.31" header="0.17" footer="0.2"/>
  <pageSetup fitToWidth="3" horizontalDpi="300" verticalDpi="300" orientation="landscape" paperSize="5" scale="75" r:id="rId1"/>
  <headerFooter alignWithMargins="0">
    <oddHeader>&amp;C&amp;"Arial,Bold"&amp;16EDS 1 - P2P Schedule</oddHeader>
    <oddFooter>&amp;L&amp;8&amp;F&amp;R&amp;8&amp;D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C43"/>
  <sheetViews>
    <sheetView workbookViewId="0" topLeftCell="A1">
      <selection activeCell="C28" sqref="C28"/>
    </sheetView>
  </sheetViews>
  <sheetFormatPr defaultColWidth="9.140625" defaultRowHeight="12.75"/>
  <cols>
    <col min="1" max="1" width="45.7109375" style="0" bestFit="1" customWidth="1"/>
    <col min="2" max="2" width="26.8515625" style="0" customWidth="1"/>
    <col min="3" max="3" width="25.57421875" style="0" customWidth="1"/>
  </cols>
  <sheetData>
    <row r="2" spans="1:3" ht="20.25">
      <c r="A2" s="434" t="s">
        <v>51</v>
      </c>
      <c r="B2" s="109"/>
      <c r="C2" s="109"/>
    </row>
    <row r="3" spans="1:3" ht="13.5" thickBot="1">
      <c r="A3" s="435"/>
      <c r="B3" s="256"/>
      <c r="C3" s="256"/>
    </row>
    <row r="4" spans="1:3" ht="15.75" thickBot="1">
      <c r="A4" s="271" t="s">
        <v>149</v>
      </c>
      <c r="B4" s="439" t="s">
        <v>155</v>
      </c>
      <c r="C4" s="440"/>
    </row>
    <row r="5" spans="1:3" ht="63.75">
      <c r="A5" s="315" t="s">
        <v>16</v>
      </c>
      <c r="B5" s="391" t="s">
        <v>217</v>
      </c>
      <c r="C5" s="392" t="s">
        <v>219</v>
      </c>
    </row>
    <row r="6" spans="1:3" ht="89.25">
      <c r="A6" s="108" t="s">
        <v>17</v>
      </c>
      <c r="B6" s="390" t="s">
        <v>206</v>
      </c>
      <c r="C6" s="390" t="s">
        <v>156</v>
      </c>
    </row>
    <row r="7" spans="1:3" ht="51">
      <c r="A7" s="108" t="s">
        <v>52</v>
      </c>
      <c r="B7" s="356" t="s">
        <v>176</v>
      </c>
      <c r="C7" s="356" t="s">
        <v>200</v>
      </c>
    </row>
    <row r="8" spans="1:3" ht="51">
      <c r="A8" s="108" t="s">
        <v>18</v>
      </c>
      <c r="B8" s="356" t="s">
        <v>177</v>
      </c>
      <c r="C8" s="356" t="s">
        <v>197</v>
      </c>
    </row>
    <row r="9" spans="1:3" ht="51">
      <c r="A9" s="108" t="s">
        <v>19</v>
      </c>
      <c r="B9" s="356" t="s">
        <v>178</v>
      </c>
      <c r="C9" s="356" t="s">
        <v>174</v>
      </c>
    </row>
    <row r="10" spans="1:3" ht="38.25">
      <c r="A10" s="108" t="s">
        <v>53</v>
      </c>
      <c r="B10" s="356" t="s">
        <v>179</v>
      </c>
      <c r="C10" s="356" t="s">
        <v>179</v>
      </c>
    </row>
    <row r="11" spans="1:3" ht="63.75">
      <c r="A11" s="108" t="s">
        <v>54</v>
      </c>
      <c r="B11" s="356" t="s">
        <v>180</v>
      </c>
      <c r="C11" s="356" t="s">
        <v>195</v>
      </c>
    </row>
    <row r="12" spans="1:3" ht="38.25">
      <c r="A12" s="108" t="s">
        <v>55</v>
      </c>
      <c r="B12" s="356" t="s">
        <v>181</v>
      </c>
      <c r="C12" s="356" t="s">
        <v>181</v>
      </c>
    </row>
    <row r="13" spans="1:3" ht="76.5">
      <c r="A13" s="108" t="s">
        <v>21</v>
      </c>
      <c r="B13" s="356" t="s">
        <v>198</v>
      </c>
      <c r="C13" s="356" t="s">
        <v>199</v>
      </c>
    </row>
    <row r="14" spans="1:3" ht="12.75">
      <c r="A14" s="108" t="s">
        <v>56</v>
      </c>
      <c r="B14" s="354"/>
      <c r="C14" s="354"/>
    </row>
    <row r="15" spans="1:3" ht="51">
      <c r="A15" s="108" t="s">
        <v>81</v>
      </c>
      <c r="B15" s="356" t="s">
        <v>182</v>
      </c>
      <c r="C15" s="356" t="s">
        <v>182</v>
      </c>
    </row>
    <row r="16" spans="1:3" ht="51">
      <c r="A16" s="108" t="s">
        <v>57</v>
      </c>
      <c r="B16" s="356" t="s">
        <v>183</v>
      </c>
      <c r="C16" s="356" t="s">
        <v>184</v>
      </c>
    </row>
    <row r="17" spans="1:3" ht="38.25">
      <c r="A17" s="108" t="s">
        <v>3</v>
      </c>
      <c r="B17" s="356" t="s">
        <v>185</v>
      </c>
      <c r="C17" s="356" t="s">
        <v>185</v>
      </c>
    </row>
    <row r="18" spans="1:3" ht="51">
      <c r="A18" s="108" t="s">
        <v>23</v>
      </c>
      <c r="B18" s="356" t="s">
        <v>186</v>
      </c>
      <c r="C18" s="356" t="s">
        <v>166</v>
      </c>
    </row>
    <row r="19" spans="1:3" ht="63.75">
      <c r="A19" s="108" t="s">
        <v>58</v>
      </c>
      <c r="B19" s="356" t="s">
        <v>187</v>
      </c>
      <c r="C19" s="356" t="s">
        <v>187</v>
      </c>
    </row>
    <row r="20" spans="1:3" ht="51">
      <c r="A20" s="108" t="s">
        <v>84</v>
      </c>
      <c r="B20" s="356" t="s">
        <v>188</v>
      </c>
      <c r="C20" s="356" t="s">
        <v>201</v>
      </c>
    </row>
    <row r="21" spans="1:3" ht="51">
      <c r="A21" s="108" t="s">
        <v>85</v>
      </c>
      <c r="B21" s="356" t="s">
        <v>189</v>
      </c>
      <c r="C21" s="356" t="s">
        <v>205</v>
      </c>
    </row>
    <row r="22" spans="1:3" ht="38.25">
      <c r="A22" s="108" t="s">
        <v>37</v>
      </c>
      <c r="B22" s="356" t="s">
        <v>194</v>
      </c>
      <c r="C22" s="356" t="s">
        <v>190</v>
      </c>
    </row>
    <row r="23" spans="1:3" ht="51">
      <c r="A23" s="108" t="s">
        <v>26</v>
      </c>
      <c r="B23" s="356" t="s">
        <v>170</v>
      </c>
      <c r="C23" s="356" t="s">
        <v>171</v>
      </c>
    </row>
    <row r="24" spans="1:3" ht="51">
      <c r="A24" s="108" t="s">
        <v>60</v>
      </c>
      <c r="B24" s="356" t="s">
        <v>191</v>
      </c>
      <c r="C24" s="356" t="s">
        <v>203</v>
      </c>
    </row>
    <row r="25" spans="1:3" ht="38.25">
      <c r="A25" s="108" t="s">
        <v>61</v>
      </c>
      <c r="B25" s="356" t="s">
        <v>192</v>
      </c>
      <c r="C25" s="356" t="s">
        <v>192</v>
      </c>
    </row>
    <row r="26" spans="1:3" ht="39" thickBot="1">
      <c r="A26" s="316" t="s">
        <v>27</v>
      </c>
      <c r="B26" s="357" t="s">
        <v>193</v>
      </c>
      <c r="C26" s="357" t="s">
        <v>204</v>
      </c>
    </row>
    <row r="27" spans="1:3" ht="15.75" thickBot="1">
      <c r="A27" s="276" t="s">
        <v>150</v>
      </c>
      <c r="B27" s="276"/>
      <c r="C27" s="276"/>
    </row>
    <row r="28" spans="1:3" ht="51">
      <c r="A28" s="315" t="s">
        <v>16</v>
      </c>
      <c r="B28" s="355" t="s">
        <v>157</v>
      </c>
      <c r="C28" s="355" t="s">
        <v>196</v>
      </c>
    </row>
    <row r="29" spans="1:3" ht="25.5">
      <c r="A29" s="108" t="s">
        <v>17</v>
      </c>
      <c r="B29" s="356" t="s">
        <v>158</v>
      </c>
      <c r="C29" s="356" t="s">
        <v>159</v>
      </c>
    </row>
    <row r="30" spans="1:3" ht="51">
      <c r="A30" s="108" t="s">
        <v>18</v>
      </c>
      <c r="B30" s="356" t="s">
        <v>175</v>
      </c>
      <c r="C30" s="356" t="s">
        <v>197</v>
      </c>
    </row>
    <row r="31" spans="1:3" ht="51">
      <c r="A31" s="108" t="s">
        <v>19</v>
      </c>
      <c r="B31" s="356" t="s">
        <v>174</v>
      </c>
      <c r="C31" s="356" t="s">
        <v>174</v>
      </c>
    </row>
    <row r="32" spans="1:3" ht="51">
      <c r="A32" s="108" t="s">
        <v>208</v>
      </c>
      <c r="B32" s="356" t="s">
        <v>160</v>
      </c>
      <c r="C32" s="356" t="s">
        <v>160</v>
      </c>
    </row>
    <row r="33" spans="1:3" ht="38.25">
      <c r="A33" s="108" t="s">
        <v>21</v>
      </c>
      <c r="B33" s="356" t="s">
        <v>161</v>
      </c>
      <c r="C33" s="356" t="s">
        <v>161</v>
      </c>
    </row>
    <row r="34" spans="1:3" ht="38.25">
      <c r="A34" s="108" t="s">
        <v>2</v>
      </c>
      <c r="B34" s="356" t="s">
        <v>162</v>
      </c>
      <c r="C34" s="356" t="s">
        <v>163</v>
      </c>
    </row>
    <row r="35" spans="1:3" ht="38.25">
      <c r="A35" s="108" t="s">
        <v>3</v>
      </c>
      <c r="B35" s="356" t="s">
        <v>218</v>
      </c>
      <c r="C35" s="356" t="s">
        <v>164</v>
      </c>
    </row>
    <row r="36" spans="1:3" ht="38.25">
      <c r="A36" s="108" t="s">
        <v>22</v>
      </c>
      <c r="B36" s="356" t="s">
        <v>165</v>
      </c>
      <c r="C36" s="356" t="s">
        <v>165</v>
      </c>
    </row>
    <row r="37" spans="1:3" ht="38.25">
      <c r="A37" s="108" t="s">
        <v>23</v>
      </c>
      <c r="B37" s="356" t="s">
        <v>166</v>
      </c>
      <c r="C37" s="356" t="s">
        <v>212</v>
      </c>
    </row>
    <row r="38" spans="1:3" ht="51">
      <c r="A38" s="108" t="s">
        <v>24</v>
      </c>
      <c r="B38" s="356" t="s">
        <v>167</v>
      </c>
      <c r="C38" s="356" t="s">
        <v>168</v>
      </c>
    </row>
    <row r="39" spans="1:3" ht="76.5">
      <c r="A39" s="108" t="s">
        <v>25</v>
      </c>
      <c r="B39" s="356" t="s">
        <v>169</v>
      </c>
      <c r="C39" s="356" t="s">
        <v>169</v>
      </c>
    </row>
    <row r="40" spans="1:3" ht="51">
      <c r="A40" s="108" t="s">
        <v>26</v>
      </c>
      <c r="B40" s="356" t="s">
        <v>170</v>
      </c>
      <c r="C40" s="356" t="s">
        <v>171</v>
      </c>
    </row>
    <row r="41" spans="1:3" ht="38.25">
      <c r="A41" s="108" t="s">
        <v>68</v>
      </c>
      <c r="B41" s="356" t="s">
        <v>172</v>
      </c>
      <c r="C41" s="356" t="s">
        <v>173</v>
      </c>
    </row>
    <row r="42" spans="1:3" ht="38.25">
      <c r="A42" s="108" t="s">
        <v>78</v>
      </c>
      <c r="B42" s="356" t="s">
        <v>207</v>
      </c>
      <c r="C42" s="356" t="s">
        <v>207</v>
      </c>
    </row>
    <row r="43" spans="1:3" ht="39" thickBot="1">
      <c r="A43" s="316" t="s">
        <v>27</v>
      </c>
      <c r="B43" s="366" t="s">
        <v>220</v>
      </c>
      <c r="C43" s="366" t="s">
        <v>202</v>
      </c>
    </row>
  </sheetData>
  <mergeCells count="2">
    <mergeCell ref="A2:A3"/>
    <mergeCell ref="B4:C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8"/>
  <sheetViews>
    <sheetView zoomScale="75" zoomScaleNormal="75" workbookViewId="0" topLeftCell="A1">
      <selection activeCell="G11" sqref="G11"/>
    </sheetView>
  </sheetViews>
  <sheetFormatPr defaultColWidth="9.140625" defaultRowHeight="12.75"/>
  <cols>
    <col min="1" max="1" width="32.421875" style="0" bestFit="1" customWidth="1"/>
    <col min="2" max="2" width="3.140625" style="6" bestFit="1" customWidth="1"/>
    <col min="3" max="3" width="3.140625" style="6" customWidth="1"/>
    <col min="4" max="4" width="2.7109375" style="10" customWidth="1"/>
    <col min="5" max="5" width="7.00390625" style="10" customWidth="1"/>
    <col min="6" max="6" width="7.421875" style="10" bestFit="1" customWidth="1"/>
    <col min="7" max="7" width="6.28125" style="10" bestFit="1" customWidth="1"/>
    <col min="8" max="8" width="6.57421875" style="7" customWidth="1"/>
    <col min="9" max="9" width="2.7109375" style="10" customWidth="1"/>
    <col min="10" max="13" width="4.00390625" style="10" customWidth="1"/>
    <col min="14" max="14" width="4.421875" style="10" bestFit="1" customWidth="1"/>
    <col min="15" max="16" width="4.00390625" style="10" customWidth="1"/>
    <col min="17" max="17" width="2.7109375" style="10" customWidth="1"/>
    <col min="18" max="18" width="4.8515625" style="7" bestFit="1" customWidth="1"/>
    <col min="19" max="19" width="6.140625" style="7" bestFit="1" customWidth="1"/>
    <col min="20" max="20" width="6.57421875" style="100" bestFit="1" customWidth="1"/>
    <col min="21" max="21" width="12.140625" style="0" customWidth="1"/>
    <col min="22" max="22" width="4.7109375" style="0" customWidth="1"/>
    <col min="24" max="24" width="4.140625" style="0" customWidth="1"/>
    <col min="26" max="26" width="7.28125" style="0" customWidth="1"/>
    <col min="27" max="27" width="4.140625" style="0" customWidth="1"/>
    <col min="28" max="28" width="8.00390625" style="0" customWidth="1"/>
  </cols>
  <sheetData>
    <row r="1" spans="1:28" s="2" customFormat="1" ht="201" thickBot="1">
      <c r="A1" s="109" t="s">
        <v>51</v>
      </c>
      <c r="B1" s="110" t="s">
        <v>4</v>
      </c>
      <c r="C1" s="110" t="s">
        <v>0</v>
      </c>
      <c r="D1" s="102" t="s">
        <v>74</v>
      </c>
      <c r="E1" s="103" t="s">
        <v>72</v>
      </c>
      <c r="F1" s="103" t="s">
        <v>73</v>
      </c>
      <c r="G1" s="103" t="s">
        <v>92</v>
      </c>
      <c r="H1" s="103" t="s">
        <v>71</v>
      </c>
      <c r="I1" s="102" t="s">
        <v>75</v>
      </c>
      <c r="J1" s="103" t="s">
        <v>9</v>
      </c>
      <c r="K1" s="103" t="s">
        <v>6</v>
      </c>
      <c r="L1" s="103" t="s">
        <v>7</v>
      </c>
      <c r="M1" s="103" t="s">
        <v>29</v>
      </c>
      <c r="N1" s="103" t="s">
        <v>28</v>
      </c>
      <c r="O1" s="103" t="s">
        <v>8</v>
      </c>
      <c r="P1" s="103" t="s">
        <v>11</v>
      </c>
      <c r="Q1" s="102" t="s">
        <v>50</v>
      </c>
      <c r="R1" s="103" t="s">
        <v>14</v>
      </c>
      <c r="S1" s="103" t="s">
        <v>46</v>
      </c>
      <c r="T1" s="104" t="s">
        <v>69</v>
      </c>
      <c r="V1"/>
      <c r="X1"/>
      <c r="Y1"/>
      <c r="Z1"/>
      <c r="AA1"/>
      <c r="AB1"/>
    </row>
    <row r="2" spans="1:20" ht="12.75">
      <c r="A2" s="421" t="s">
        <v>16</v>
      </c>
      <c r="B2" s="42" t="s">
        <v>62</v>
      </c>
      <c r="C2" s="42"/>
      <c r="D2" s="111"/>
      <c r="E2" s="26">
        <v>0</v>
      </c>
      <c r="F2" s="238">
        <f>'P2P Estimates'!K2</f>
        <v>2042</v>
      </c>
      <c r="G2" s="113">
        <f>F2/$F$41</f>
        <v>0.02111969551232327</v>
      </c>
      <c r="H2" s="78">
        <f aca="true" t="shared" si="0" ref="H2:H36">IF(F2&lt;&gt;0,E2/F2,0)</f>
        <v>0</v>
      </c>
      <c r="I2" s="111"/>
      <c r="J2" s="26">
        <v>0</v>
      </c>
      <c r="K2" s="26">
        <v>0</v>
      </c>
      <c r="L2" s="26">
        <v>0</v>
      </c>
      <c r="M2" s="75">
        <v>0</v>
      </c>
      <c r="N2" s="75">
        <v>0</v>
      </c>
      <c r="O2" s="26">
        <v>0</v>
      </c>
      <c r="P2" s="26">
        <v>0</v>
      </c>
      <c r="Q2" s="111"/>
      <c r="R2" s="112">
        <f>SUM(J2:P2)</f>
        <v>0</v>
      </c>
      <c r="S2" s="78">
        <f aca="true" t="shared" si="1" ref="S2:S39">IF(E2&lt;&gt;0,(J2+K2+L2+O2+P2)/E2,0)</f>
        <v>0</v>
      </c>
      <c r="T2" s="74">
        <f aca="true" t="shared" si="2" ref="T2:T39">IF(E2&lt;&gt;0,(R2)/E2,0)</f>
        <v>0</v>
      </c>
    </row>
    <row r="3" spans="1:21" ht="12.75">
      <c r="A3" s="422"/>
      <c r="B3" s="44"/>
      <c r="C3" s="44" t="s">
        <v>62</v>
      </c>
      <c r="D3" s="19"/>
      <c r="E3" s="20">
        <v>0</v>
      </c>
      <c r="F3" s="239">
        <f>'P2P Estimates'!K3</f>
        <v>1322</v>
      </c>
      <c r="G3" s="114">
        <f aca="true" t="shared" si="3" ref="G3:G41">F3/$F$41</f>
        <v>0.013672986027077063</v>
      </c>
      <c r="H3" s="29">
        <f t="shared" si="0"/>
        <v>0</v>
      </c>
      <c r="I3" s="19"/>
      <c r="J3" s="20">
        <v>0</v>
      </c>
      <c r="K3" s="20">
        <v>0</v>
      </c>
      <c r="L3" s="20">
        <v>0</v>
      </c>
      <c r="M3" s="71">
        <v>0</v>
      </c>
      <c r="N3" s="71">
        <v>0</v>
      </c>
      <c r="O3" s="20">
        <v>0</v>
      </c>
      <c r="P3" s="20">
        <v>0</v>
      </c>
      <c r="Q3" s="19"/>
      <c r="R3" s="55">
        <f aca="true" t="shared" si="4" ref="R3:R39">SUM(J3:P3)</f>
        <v>0</v>
      </c>
      <c r="S3" s="29">
        <f t="shared" si="1"/>
        <v>0</v>
      </c>
      <c r="T3" s="68">
        <f t="shared" si="2"/>
        <v>0</v>
      </c>
      <c r="U3" s="1"/>
    </row>
    <row r="4" spans="1:20" ht="12.75">
      <c r="A4" s="416" t="s">
        <v>17</v>
      </c>
      <c r="B4" s="44" t="s">
        <v>62</v>
      </c>
      <c r="C4" s="44"/>
      <c r="D4" s="19"/>
      <c r="E4" s="20">
        <v>0</v>
      </c>
      <c r="F4" s="239">
        <f>'P2P Estimates'!K4</f>
        <v>10932</v>
      </c>
      <c r="G4" s="114">
        <f t="shared" si="3"/>
        <v>0.11306587235098824</v>
      </c>
      <c r="H4" s="29">
        <f t="shared" si="0"/>
        <v>0</v>
      </c>
      <c r="I4" s="19"/>
      <c r="J4" s="20">
        <v>0</v>
      </c>
      <c r="K4" s="20">
        <v>0</v>
      </c>
      <c r="L4" s="20">
        <v>0</v>
      </c>
      <c r="M4" s="71">
        <v>0</v>
      </c>
      <c r="N4" s="71">
        <v>0</v>
      </c>
      <c r="O4" s="20">
        <v>0</v>
      </c>
      <c r="P4" s="20">
        <v>0</v>
      </c>
      <c r="Q4" s="19"/>
      <c r="R4" s="55">
        <f t="shared" si="4"/>
        <v>0</v>
      </c>
      <c r="S4" s="29">
        <f t="shared" si="1"/>
        <v>0</v>
      </c>
      <c r="T4" s="68">
        <f t="shared" si="2"/>
        <v>0</v>
      </c>
    </row>
    <row r="5" spans="1:21" ht="12.75">
      <c r="A5" s="417"/>
      <c r="B5" s="44"/>
      <c r="C5" s="44" t="s">
        <v>62</v>
      </c>
      <c r="D5" s="19"/>
      <c r="E5" s="20">
        <v>0</v>
      </c>
      <c r="F5" s="239">
        <f>'P2P Estimates'!K5</f>
        <v>694</v>
      </c>
      <c r="G5" s="114">
        <f t="shared" si="3"/>
        <v>0.007177800531612316</v>
      </c>
      <c r="H5" s="29">
        <f t="shared" si="0"/>
        <v>0</v>
      </c>
      <c r="I5" s="19"/>
      <c r="J5" s="20">
        <v>0</v>
      </c>
      <c r="K5" s="20">
        <v>0</v>
      </c>
      <c r="L5" s="20">
        <v>0</v>
      </c>
      <c r="M5" s="71">
        <v>0</v>
      </c>
      <c r="N5" s="71">
        <v>0</v>
      </c>
      <c r="O5" s="20">
        <v>0</v>
      </c>
      <c r="P5" s="20">
        <v>0</v>
      </c>
      <c r="Q5" s="19"/>
      <c r="R5" s="55">
        <f t="shared" si="4"/>
        <v>0</v>
      </c>
      <c r="S5" s="29">
        <f t="shared" si="1"/>
        <v>0</v>
      </c>
      <c r="T5" s="68">
        <f t="shared" si="2"/>
        <v>0</v>
      </c>
      <c r="U5" s="1"/>
    </row>
    <row r="6" spans="1:21" ht="12.75">
      <c r="A6" s="108" t="s">
        <v>52</v>
      </c>
      <c r="B6" s="44"/>
      <c r="C6" s="44" t="s">
        <v>62</v>
      </c>
      <c r="D6" s="19"/>
      <c r="E6" s="20">
        <v>0</v>
      </c>
      <c r="F6" s="239">
        <f>'P2P Estimates'!K6</f>
        <v>3192</v>
      </c>
      <c r="G6" s="114">
        <f t="shared" si="3"/>
        <v>0.033013745384591515</v>
      </c>
      <c r="H6" s="29">
        <f t="shared" si="0"/>
        <v>0</v>
      </c>
      <c r="I6" s="19"/>
      <c r="J6" s="20">
        <v>0</v>
      </c>
      <c r="K6" s="20">
        <v>0</v>
      </c>
      <c r="L6" s="20">
        <v>0</v>
      </c>
      <c r="M6" s="71">
        <v>0</v>
      </c>
      <c r="N6" s="71">
        <v>0</v>
      </c>
      <c r="O6" s="20">
        <v>0</v>
      </c>
      <c r="P6" s="20">
        <v>0</v>
      </c>
      <c r="Q6" s="19"/>
      <c r="R6" s="55">
        <f t="shared" si="4"/>
        <v>0</v>
      </c>
      <c r="S6" s="29">
        <f t="shared" si="1"/>
        <v>0</v>
      </c>
      <c r="T6" s="68">
        <f t="shared" si="2"/>
        <v>0</v>
      </c>
      <c r="U6" s="1"/>
    </row>
    <row r="7" spans="1:20" ht="12.75">
      <c r="A7" s="416" t="s">
        <v>18</v>
      </c>
      <c r="B7" s="44" t="s">
        <v>62</v>
      </c>
      <c r="C7" s="44"/>
      <c r="D7" s="19"/>
      <c r="E7" s="20">
        <v>0</v>
      </c>
      <c r="F7" s="239">
        <f>'P2P Estimates'!K7</f>
        <v>4169</v>
      </c>
      <c r="G7" s="114">
        <f t="shared" si="3"/>
        <v>0.043118516449988105</v>
      </c>
      <c r="H7" s="29">
        <f t="shared" si="0"/>
        <v>0</v>
      </c>
      <c r="I7" s="19"/>
      <c r="J7" s="20">
        <v>0</v>
      </c>
      <c r="K7" s="20">
        <v>0</v>
      </c>
      <c r="L7" s="20">
        <v>0</v>
      </c>
      <c r="M7" s="71">
        <v>0</v>
      </c>
      <c r="N7" s="71">
        <v>0</v>
      </c>
      <c r="O7" s="20">
        <v>0</v>
      </c>
      <c r="P7" s="20">
        <v>0</v>
      </c>
      <c r="Q7" s="19"/>
      <c r="R7" s="55">
        <f t="shared" si="4"/>
        <v>0</v>
      </c>
      <c r="S7" s="29">
        <f t="shared" si="1"/>
        <v>0</v>
      </c>
      <c r="T7" s="68">
        <f t="shared" si="2"/>
        <v>0</v>
      </c>
    </row>
    <row r="8" spans="1:20" ht="12.75">
      <c r="A8" s="416"/>
      <c r="B8" s="44"/>
      <c r="C8" s="44" t="s">
        <v>62</v>
      </c>
      <c r="D8" s="19"/>
      <c r="E8" s="20">
        <v>0</v>
      </c>
      <c r="F8" s="239">
        <f>'P2P Estimates'!K8</f>
        <v>757</v>
      </c>
      <c r="G8" s="114">
        <f t="shared" si="3"/>
        <v>0.00782938761157136</v>
      </c>
      <c r="H8" s="29">
        <f t="shared" si="0"/>
        <v>0</v>
      </c>
      <c r="I8" s="19"/>
      <c r="J8" s="20">
        <v>0</v>
      </c>
      <c r="K8" s="20">
        <v>0</v>
      </c>
      <c r="L8" s="20">
        <v>0</v>
      </c>
      <c r="M8" s="71">
        <v>0</v>
      </c>
      <c r="N8" s="71">
        <v>0</v>
      </c>
      <c r="O8" s="20">
        <v>0</v>
      </c>
      <c r="P8" s="20">
        <v>0</v>
      </c>
      <c r="Q8" s="19"/>
      <c r="R8" s="55">
        <f t="shared" si="4"/>
        <v>0</v>
      </c>
      <c r="S8" s="29">
        <f t="shared" si="1"/>
        <v>0</v>
      </c>
      <c r="T8" s="68">
        <f t="shared" si="2"/>
        <v>0</v>
      </c>
    </row>
    <row r="9" spans="1:20" ht="12.75">
      <c r="A9" s="416" t="s">
        <v>19</v>
      </c>
      <c r="B9" s="44" t="s">
        <v>62</v>
      </c>
      <c r="C9" s="44" t="s">
        <v>5</v>
      </c>
      <c r="D9" s="19"/>
      <c r="E9" s="20">
        <v>0</v>
      </c>
      <c r="F9" s="239">
        <f>'P2P Estimates'!K9</f>
        <v>311</v>
      </c>
      <c r="G9" s="114">
        <f t="shared" si="3"/>
        <v>0.0032165647915438477</v>
      </c>
      <c r="H9" s="29">
        <f t="shared" si="0"/>
        <v>0</v>
      </c>
      <c r="I9" s="19"/>
      <c r="J9" s="20">
        <v>0</v>
      </c>
      <c r="K9" s="20">
        <v>0</v>
      </c>
      <c r="L9" s="20">
        <v>0</v>
      </c>
      <c r="M9" s="71">
        <v>0</v>
      </c>
      <c r="N9" s="71">
        <v>0</v>
      </c>
      <c r="O9" s="20">
        <v>0</v>
      </c>
      <c r="P9" s="20">
        <v>0</v>
      </c>
      <c r="Q9" s="19"/>
      <c r="R9" s="55">
        <f t="shared" si="4"/>
        <v>0</v>
      </c>
      <c r="S9" s="29">
        <f t="shared" si="1"/>
        <v>0</v>
      </c>
      <c r="T9" s="68">
        <f t="shared" si="2"/>
        <v>0</v>
      </c>
    </row>
    <row r="10" spans="1:20" ht="12.75">
      <c r="A10" s="416"/>
      <c r="B10" s="44"/>
      <c r="C10" s="44" t="s">
        <v>62</v>
      </c>
      <c r="D10" s="19"/>
      <c r="E10" s="20">
        <v>0</v>
      </c>
      <c r="F10" s="239">
        <f>'P2P Estimates'!K10</f>
        <v>1165</v>
      </c>
      <c r="G10" s="114">
        <f t="shared" si="3"/>
        <v>0.012049189653210876</v>
      </c>
      <c r="H10" s="29">
        <f>IF(F10&lt;&gt;0,E10/F10,0)</f>
        <v>0</v>
      </c>
      <c r="I10" s="19"/>
      <c r="J10" s="20">
        <v>0</v>
      </c>
      <c r="K10" s="20">
        <v>0</v>
      </c>
      <c r="L10" s="20">
        <v>0</v>
      </c>
      <c r="M10" s="71">
        <v>0</v>
      </c>
      <c r="N10" s="71">
        <v>0</v>
      </c>
      <c r="O10" s="20">
        <v>0</v>
      </c>
      <c r="P10" s="20">
        <v>0</v>
      </c>
      <c r="Q10" s="19"/>
      <c r="R10" s="55">
        <f>SUM(J10:P10)</f>
        <v>0</v>
      </c>
      <c r="S10" s="29">
        <f t="shared" si="1"/>
        <v>0</v>
      </c>
      <c r="T10" s="68">
        <f t="shared" si="2"/>
        <v>0</v>
      </c>
    </row>
    <row r="11" spans="1:21" ht="12.75">
      <c r="A11" s="108" t="s">
        <v>53</v>
      </c>
      <c r="B11" s="44"/>
      <c r="C11" s="44" t="s">
        <v>62</v>
      </c>
      <c r="D11" s="19"/>
      <c r="E11" s="20">
        <v>0</v>
      </c>
      <c r="F11" s="239">
        <f>'P2P Estimates'!K11</f>
        <v>2561</v>
      </c>
      <c r="G11" s="114">
        <f t="shared" si="3"/>
        <v>0.026487531932938246</v>
      </c>
      <c r="H11" s="29">
        <f t="shared" si="0"/>
        <v>0</v>
      </c>
      <c r="I11" s="19"/>
      <c r="J11" s="20">
        <v>0</v>
      </c>
      <c r="K11" s="20">
        <v>0</v>
      </c>
      <c r="L11" s="20">
        <v>0</v>
      </c>
      <c r="M11" s="71">
        <v>0</v>
      </c>
      <c r="N11" s="71">
        <v>0</v>
      </c>
      <c r="O11" s="20">
        <v>0</v>
      </c>
      <c r="P11" s="20">
        <v>0</v>
      </c>
      <c r="Q11" s="19"/>
      <c r="R11" s="55">
        <f t="shared" si="4"/>
        <v>0</v>
      </c>
      <c r="S11" s="29">
        <f t="shared" si="1"/>
        <v>0</v>
      </c>
      <c r="T11" s="68">
        <f t="shared" si="2"/>
        <v>0</v>
      </c>
      <c r="U11" s="1"/>
    </row>
    <row r="12" spans="1:21" ht="12.75">
      <c r="A12" s="108" t="s">
        <v>54</v>
      </c>
      <c r="B12" s="44"/>
      <c r="C12" s="44" t="s">
        <v>62</v>
      </c>
      <c r="D12" s="19"/>
      <c r="E12" s="20">
        <v>0</v>
      </c>
      <c r="F12" s="239">
        <f>'P2P Estimates'!K12</f>
        <v>287</v>
      </c>
      <c r="G12" s="114">
        <f t="shared" si="3"/>
        <v>0.002968341142035641</v>
      </c>
      <c r="H12" s="29">
        <f t="shared" si="0"/>
        <v>0</v>
      </c>
      <c r="I12" s="19"/>
      <c r="J12" s="20">
        <v>0</v>
      </c>
      <c r="K12" s="20">
        <v>0</v>
      </c>
      <c r="L12" s="20">
        <v>0</v>
      </c>
      <c r="M12" s="71">
        <v>0</v>
      </c>
      <c r="N12" s="71">
        <v>0</v>
      </c>
      <c r="O12" s="20">
        <v>0</v>
      </c>
      <c r="P12" s="20">
        <v>0</v>
      </c>
      <c r="Q12" s="19"/>
      <c r="R12" s="55">
        <f t="shared" si="4"/>
        <v>0</v>
      </c>
      <c r="S12" s="29">
        <f t="shared" si="1"/>
        <v>0</v>
      </c>
      <c r="T12" s="68">
        <f t="shared" si="2"/>
        <v>0</v>
      </c>
      <c r="U12" s="1"/>
    </row>
    <row r="13" spans="1:21" ht="12.75">
      <c r="A13" s="108" t="s">
        <v>55</v>
      </c>
      <c r="B13" s="44" t="s">
        <v>5</v>
      </c>
      <c r="C13" s="44" t="s">
        <v>62</v>
      </c>
      <c r="D13" s="19"/>
      <c r="E13" s="20">
        <v>0</v>
      </c>
      <c r="F13" s="239">
        <f>'P2P Estimates'!K13</f>
        <v>391</v>
      </c>
      <c r="G13" s="114">
        <f t="shared" si="3"/>
        <v>0.004043976956571204</v>
      </c>
      <c r="H13" s="29">
        <f t="shared" si="0"/>
        <v>0</v>
      </c>
      <c r="I13" s="19"/>
      <c r="J13" s="20">
        <v>0</v>
      </c>
      <c r="K13" s="20">
        <v>0</v>
      </c>
      <c r="L13" s="20">
        <v>0</v>
      </c>
      <c r="M13" s="71">
        <v>0</v>
      </c>
      <c r="N13" s="71">
        <v>0</v>
      </c>
      <c r="O13" s="20">
        <v>0</v>
      </c>
      <c r="P13" s="20">
        <v>0</v>
      </c>
      <c r="Q13" s="19"/>
      <c r="R13" s="55">
        <f t="shared" si="4"/>
        <v>0</v>
      </c>
      <c r="S13" s="29">
        <f t="shared" si="1"/>
        <v>0</v>
      </c>
      <c r="T13" s="68">
        <f t="shared" si="2"/>
        <v>0</v>
      </c>
      <c r="U13" s="1"/>
    </row>
    <row r="14" spans="1:20" ht="12.75">
      <c r="A14" s="108" t="s">
        <v>20</v>
      </c>
      <c r="B14" s="44" t="s">
        <v>62</v>
      </c>
      <c r="C14" s="44"/>
      <c r="D14" s="19"/>
      <c r="E14" s="20">
        <v>0</v>
      </c>
      <c r="F14" s="239">
        <f>'P2P Estimates'!K14</f>
        <v>6807</v>
      </c>
      <c r="G14" s="114">
        <f t="shared" si="3"/>
        <v>0.07040243259176518</v>
      </c>
      <c r="H14" s="29">
        <f t="shared" si="0"/>
        <v>0</v>
      </c>
      <c r="I14" s="19"/>
      <c r="J14" s="20">
        <v>0</v>
      </c>
      <c r="K14" s="20">
        <v>0</v>
      </c>
      <c r="L14" s="20">
        <v>0</v>
      </c>
      <c r="M14" s="71">
        <v>0</v>
      </c>
      <c r="N14" s="71">
        <v>0</v>
      </c>
      <c r="O14" s="20">
        <v>0</v>
      </c>
      <c r="P14" s="20">
        <v>0</v>
      </c>
      <c r="Q14" s="19"/>
      <c r="R14" s="55">
        <f t="shared" si="4"/>
        <v>0</v>
      </c>
      <c r="S14" s="29">
        <f t="shared" si="1"/>
        <v>0</v>
      </c>
      <c r="T14" s="68">
        <f t="shared" si="2"/>
        <v>0</v>
      </c>
    </row>
    <row r="15" spans="1:20" ht="12.75">
      <c r="A15" s="416" t="s">
        <v>21</v>
      </c>
      <c r="B15" s="44" t="s">
        <v>62</v>
      </c>
      <c r="C15" s="44"/>
      <c r="D15" s="19"/>
      <c r="E15" s="20">
        <v>0</v>
      </c>
      <c r="F15" s="239">
        <f>'P2P Estimates'!K15</f>
        <v>1759</v>
      </c>
      <c r="G15" s="114">
        <f t="shared" si="3"/>
        <v>0.018192724978538997</v>
      </c>
      <c r="H15" s="29">
        <f t="shared" si="0"/>
        <v>0</v>
      </c>
      <c r="I15" s="19"/>
      <c r="J15" s="20">
        <v>0</v>
      </c>
      <c r="K15" s="20">
        <v>0</v>
      </c>
      <c r="L15" s="20">
        <v>0</v>
      </c>
      <c r="M15" s="71">
        <v>0</v>
      </c>
      <c r="N15" s="71">
        <v>0</v>
      </c>
      <c r="O15" s="20">
        <v>0</v>
      </c>
      <c r="P15" s="20">
        <v>0</v>
      </c>
      <c r="Q15" s="19"/>
      <c r="R15" s="55">
        <f t="shared" si="4"/>
        <v>0</v>
      </c>
      <c r="S15" s="29">
        <f t="shared" si="1"/>
        <v>0</v>
      </c>
      <c r="T15" s="68">
        <f t="shared" si="2"/>
        <v>0</v>
      </c>
    </row>
    <row r="16" spans="1:20" ht="12.75">
      <c r="A16" s="417"/>
      <c r="B16" s="44" t="s">
        <v>62</v>
      </c>
      <c r="C16" s="44" t="s">
        <v>62</v>
      </c>
      <c r="D16" s="19"/>
      <c r="E16" s="20">
        <v>0</v>
      </c>
      <c r="F16" s="239">
        <f>'P2P Estimates'!K16</f>
        <v>1293</v>
      </c>
      <c r="G16" s="114">
        <f t="shared" si="3"/>
        <v>0.013373049117254647</v>
      </c>
      <c r="H16" s="29">
        <f t="shared" si="0"/>
        <v>0</v>
      </c>
      <c r="I16" s="19"/>
      <c r="J16" s="20">
        <v>0</v>
      </c>
      <c r="K16" s="20">
        <v>0</v>
      </c>
      <c r="L16" s="20">
        <v>0</v>
      </c>
      <c r="M16" s="71">
        <v>0</v>
      </c>
      <c r="N16" s="71">
        <v>0</v>
      </c>
      <c r="O16" s="20">
        <v>0</v>
      </c>
      <c r="P16" s="20">
        <v>0</v>
      </c>
      <c r="Q16" s="19"/>
      <c r="R16" s="55">
        <f t="shared" si="4"/>
        <v>0</v>
      </c>
      <c r="S16" s="29">
        <f t="shared" si="1"/>
        <v>0</v>
      </c>
      <c r="T16" s="68">
        <f t="shared" si="2"/>
        <v>0</v>
      </c>
    </row>
    <row r="17" spans="1:20" s="4" customFormat="1" ht="12.75">
      <c r="A17" s="108" t="s">
        <v>2</v>
      </c>
      <c r="B17" s="44" t="s">
        <v>62</v>
      </c>
      <c r="C17" s="44"/>
      <c r="D17" s="19"/>
      <c r="E17" s="20">
        <v>0</v>
      </c>
      <c r="F17" s="239">
        <f>'P2P Estimates'!K17</f>
        <v>174</v>
      </c>
      <c r="G17" s="114">
        <f t="shared" si="3"/>
        <v>0.0017996214589345</v>
      </c>
      <c r="H17" s="29">
        <f t="shared" si="0"/>
        <v>0</v>
      </c>
      <c r="I17" s="19"/>
      <c r="J17" s="20">
        <v>0</v>
      </c>
      <c r="K17" s="20">
        <v>0</v>
      </c>
      <c r="L17" s="20">
        <v>0</v>
      </c>
      <c r="M17" s="71">
        <v>0</v>
      </c>
      <c r="N17" s="71">
        <v>0</v>
      </c>
      <c r="O17" s="20">
        <v>0</v>
      </c>
      <c r="P17" s="20">
        <v>0</v>
      </c>
      <c r="Q17" s="19"/>
      <c r="R17" s="55">
        <f t="shared" si="4"/>
        <v>0</v>
      </c>
      <c r="S17" s="29">
        <f t="shared" si="1"/>
        <v>0</v>
      </c>
      <c r="T17" s="68">
        <f t="shared" si="2"/>
        <v>0</v>
      </c>
    </row>
    <row r="18" spans="1:21" ht="12.75">
      <c r="A18" s="108" t="s">
        <v>56</v>
      </c>
      <c r="B18" s="44"/>
      <c r="C18" s="44" t="s">
        <v>62</v>
      </c>
      <c r="D18" s="19"/>
      <c r="E18" s="20">
        <v>0</v>
      </c>
      <c r="F18" s="239">
        <f>'P2P Estimates'!K18</f>
        <v>297</v>
      </c>
      <c r="G18" s="114">
        <f t="shared" si="3"/>
        <v>0.0030717676626640603</v>
      </c>
      <c r="H18" s="29">
        <f t="shared" si="0"/>
        <v>0</v>
      </c>
      <c r="I18" s="19"/>
      <c r="J18" s="20">
        <v>0</v>
      </c>
      <c r="K18" s="20">
        <v>0</v>
      </c>
      <c r="L18" s="20">
        <v>0</v>
      </c>
      <c r="M18" s="71">
        <v>0</v>
      </c>
      <c r="N18" s="71">
        <v>0</v>
      </c>
      <c r="O18" s="20">
        <v>0</v>
      </c>
      <c r="P18" s="20">
        <v>0</v>
      </c>
      <c r="Q18" s="19"/>
      <c r="R18" s="55">
        <f t="shared" si="4"/>
        <v>0</v>
      </c>
      <c r="S18" s="29">
        <f t="shared" si="1"/>
        <v>0</v>
      </c>
      <c r="T18" s="68">
        <f t="shared" si="2"/>
        <v>0</v>
      </c>
      <c r="U18" s="1"/>
    </row>
    <row r="19" spans="1:21" ht="12.75">
      <c r="A19" s="108" t="s">
        <v>81</v>
      </c>
      <c r="B19" s="44"/>
      <c r="C19" s="44" t="s">
        <v>62</v>
      </c>
      <c r="D19" s="19"/>
      <c r="E19" s="20">
        <v>0</v>
      </c>
      <c r="F19" s="239">
        <f>'P2P Estimates'!K19</f>
        <v>1888</v>
      </c>
      <c r="G19" s="114">
        <f t="shared" si="3"/>
        <v>0.01952692709464561</v>
      </c>
      <c r="H19" s="29">
        <f>IF(F19&lt;&gt;0,E19/F19,0)</f>
        <v>0</v>
      </c>
      <c r="I19" s="19"/>
      <c r="J19" s="20">
        <v>0</v>
      </c>
      <c r="K19" s="20">
        <v>0</v>
      </c>
      <c r="L19" s="20">
        <v>0</v>
      </c>
      <c r="M19" s="71">
        <v>0</v>
      </c>
      <c r="N19" s="71">
        <v>0</v>
      </c>
      <c r="O19" s="20">
        <v>0</v>
      </c>
      <c r="P19" s="20">
        <v>0</v>
      </c>
      <c r="Q19" s="19"/>
      <c r="R19" s="55">
        <f t="shared" si="4"/>
        <v>0</v>
      </c>
      <c r="S19" s="29">
        <f t="shared" si="1"/>
        <v>0</v>
      </c>
      <c r="T19" s="68">
        <f t="shared" si="2"/>
        <v>0</v>
      </c>
      <c r="U19" s="1"/>
    </row>
    <row r="20" spans="1:21" ht="12.75">
      <c r="A20" s="108" t="s">
        <v>57</v>
      </c>
      <c r="B20" s="44"/>
      <c r="C20" s="44" t="s">
        <v>62</v>
      </c>
      <c r="D20" s="19"/>
      <c r="E20" s="20">
        <v>0</v>
      </c>
      <c r="F20" s="239">
        <f>'P2P Estimates'!K20</f>
        <v>1031</v>
      </c>
      <c r="G20" s="114">
        <f t="shared" si="3"/>
        <v>0.010663274276790055</v>
      </c>
      <c r="H20" s="29">
        <f t="shared" si="0"/>
        <v>0</v>
      </c>
      <c r="I20" s="19"/>
      <c r="J20" s="20">
        <v>0</v>
      </c>
      <c r="K20" s="20">
        <v>0</v>
      </c>
      <c r="L20" s="20">
        <v>0</v>
      </c>
      <c r="M20" s="71">
        <v>0</v>
      </c>
      <c r="N20" s="71">
        <v>0</v>
      </c>
      <c r="O20" s="20">
        <v>0</v>
      </c>
      <c r="P20" s="20">
        <v>0</v>
      </c>
      <c r="Q20" s="19"/>
      <c r="R20" s="55">
        <f t="shared" si="4"/>
        <v>0</v>
      </c>
      <c r="S20" s="29">
        <f t="shared" si="1"/>
        <v>0</v>
      </c>
      <c r="T20" s="68">
        <f t="shared" si="2"/>
        <v>0</v>
      </c>
      <c r="U20" s="1"/>
    </row>
    <row r="21" spans="1:20" s="4" customFormat="1" ht="12.75">
      <c r="A21" s="416" t="s">
        <v>3</v>
      </c>
      <c r="B21" s="44" t="s">
        <v>62</v>
      </c>
      <c r="C21" s="44"/>
      <c r="D21" s="19"/>
      <c r="E21" s="20">
        <v>0</v>
      </c>
      <c r="F21" s="239">
        <f>'P2P Estimates'!K21</f>
        <v>492</v>
      </c>
      <c r="G21" s="114">
        <f t="shared" si="3"/>
        <v>0.0050885848149182416</v>
      </c>
      <c r="H21" s="29">
        <f t="shared" si="0"/>
        <v>0</v>
      </c>
      <c r="I21" s="19"/>
      <c r="J21" s="20">
        <v>0</v>
      </c>
      <c r="K21" s="20">
        <v>0</v>
      </c>
      <c r="L21" s="20">
        <v>0</v>
      </c>
      <c r="M21" s="71">
        <v>0</v>
      </c>
      <c r="N21" s="71">
        <v>0</v>
      </c>
      <c r="O21" s="20">
        <v>0</v>
      </c>
      <c r="P21" s="20">
        <v>0</v>
      </c>
      <c r="Q21" s="19"/>
      <c r="R21" s="55">
        <f t="shared" si="4"/>
        <v>0</v>
      </c>
      <c r="S21" s="29">
        <f t="shared" si="1"/>
        <v>0</v>
      </c>
      <c r="T21" s="68">
        <f t="shared" si="2"/>
        <v>0</v>
      </c>
    </row>
    <row r="22" spans="1:20" s="4" customFormat="1" ht="12.75" customHeight="1">
      <c r="A22" s="417"/>
      <c r="B22" s="44" t="s">
        <v>5</v>
      </c>
      <c r="C22" s="44" t="s">
        <v>62</v>
      </c>
      <c r="D22" s="19"/>
      <c r="E22" s="20">
        <v>0</v>
      </c>
      <c r="F22" s="239">
        <f>'P2P Estimates'!K22</f>
        <v>426</v>
      </c>
      <c r="G22" s="114">
        <f t="shared" si="3"/>
        <v>0.004405969778770672</v>
      </c>
      <c r="H22" s="29">
        <f t="shared" si="0"/>
        <v>0</v>
      </c>
      <c r="I22" s="19"/>
      <c r="J22" s="20">
        <v>0</v>
      </c>
      <c r="K22" s="20">
        <v>0</v>
      </c>
      <c r="L22" s="20">
        <v>0</v>
      </c>
      <c r="M22" s="71">
        <v>0</v>
      </c>
      <c r="N22" s="71">
        <v>0</v>
      </c>
      <c r="O22" s="20">
        <v>0</v>
      </c>
      <c r="P22" s="20">
        <v>0</v>
      </c>
      <c r="Q22" s="19"/>
      <c r="R22" s="55">
        <f t="shared" si="4"/>
        <v>0</v>
      </c>
      <c r="S22" s="29">
        <f t="shared" si="1"/>
        <v>0</v>
      </c>
      <c r="T22" s="68">
        <f t="shared" si="2"/>
        <v>0</v>
      </c>
    </row>
    <row r="23" spans="1:20" s="4" customFormat="1" ht="12.75">
      <c r="A23" s="108" t="s">
        <v>22</v>
      </c>
      <c r="B23" s="44" t="s">
        <v>62</v>
      </c>
      <c r="C23" s="44"/>
      <c r="D23" s="19"/>
      <c r="E23" s="20">
        <v>0</v>
      </c>
      <c r="F23" s="239">
        <f>'P2P Estimates'!K23</f>
        <v>43</v>
      </c>
      <c r="G23" s="114">
        <f t="shared" si="3"/>
        <v>0.000444734038702204</v>
      </c>
      <c r="H23" s="29">
        <f t="shared" si="0"/>
        <v>0</v>
      </c>
      <c r="I23" s="19"/>
      <c r="J23" s="20">
        <v>0</v>
      </c>
      <c r="K23" s="20">
        <v>0</v>
      </c>
      <c r="L23" s="20">
        <v>0</v>
      </c>
      <c r="M23" s="71">
        <v>0</v>
      </c>
      <c r="N23" s="71">
        <v>0</v>
      </c>
      <c r="O23" s="20">
        <v>0</v>
      </c>
      <c r="P23" s="20">
        <v>0</v>
      </c>
      <c r="Q23" s="19"/>
      <c r="R23" s="55">
        <f t="shared" si="4"/>
        <v>0</v>
      </c>
      <c r="S23" s="29">
        <f t="shared" si="1"/>
        <v>0</v>
      </c>
      <c r="T23" s="68">
        <f t="shared" si="2"/>
        <v>0</v>
      </c>
    </row>
    <row r="24" spans="1:20" ht="12.75">
      <c r="A24" s="416" t="s">
        <v>23</v>
      </c>
      <c r="B24" s="44" t="s">
        <v>62</v>
      </c>
      <c r="C24" s="44"/>
      <c r="D24" s="19"/>
      <c r="E24" s="20">
        <v>0</v>
      </c>
      <c r="F24" s="239">
        <f>'P2P Estimates'!K24</f>
        <v>6336</v>
      </c>
      <c r="G24" s="114">
        <f t="shared" si="3"/>
        <v>0.06553104347016663</v>
      </c>
      <c r="H24" s="29">
        <f t="shared" si="0"/>
        <v>0</v>
      </c>
      <c r="I24" s="19"/>
      <c r="J24" s="20">
        <v>0</v>
      </c>
      <c r="K24" s="20">
        <v>0</v>
      </c>
      <c r="L24" s="20">
        <v>0</v>
      </c>
      <c r="M24" s="71">
        <v>0</v>
      </c>
      <c r="N24" s="71">
        <v>0</v>
      </c>
      <c r="O24" s="20">
        <v>0</v>
      </c>
      <c r="P24" s="20">
        <v>0</v>
      </c>
      <c r="Q24" s="19"/>
      <c r="R24" s="55">
        <f t="shared" si="4"/>
        <v>0</v>
      </c>
      <c r="S24" s="29">
        <f t="shared" si="1"/>
        <v>0</v>
      </c>
      <c r="T24" s="68">
        <f t="shared" si="2"/>
        <v>0</v>
      </c>
    </row>
    <row r="25" spans="1:20" ht="12.75">
      <c r="A25" s="401"/>
      <c r="B25" s="44"/>
      <c r="C25" s="44" t="s">
        <v>62</v>
      </c>
      <c r="D25" s="19"/>
      <c r="E25" s="20">
        <v>0</v>
      </c>
      <c r="F25" s="239">
        <f>'P2P Estimates'!K25</f>
        <v>1537</v>
      </c>
      <c r="G25" s="114">
        <f t="shared" si="3"/>
        <v>0.015896656220588085</v>
      </c>
      <c r="H25" s="29">
        <f t="shared" si="0"/>
        <v>0</v>
      </c>
      <c r="I25" s="19"/>
      <c r="J25" s="20">
        <v>0</v>
      </c>
      <c r="K25" s="20">
        <v>0</v>
      </c>
      <c r="L25" s="20">
        <v>0</v>
      </c>
      <c r="M25" s="71">
        <v>0</v>
      </c>
      <c r="N25" s="71">
        <v>0</v>
      </c>
      <c r="O25" s="20">
        <v>0</v>
      </c>
      <c r="P25" s="20">
        <v>0</v>
      </c>
      <c r="Q25" s="19"/>
      <c r="R25" s="55">
        <f t="shared" si="4"/>
        <v>0</v>
      </c>
      <c r="S25" s="29">
        <f t="shared" si="1"/>
        <v>0</v>
      </c>
      <c r="T25" s="68">
        <f t="shared" si="2"/>
        <v>0</v>
      </c>
    </row>
    <row r="26" spans="1:21" ht="12.75">
      <c r="A26" s="108" t="s">
        <v>58</v>
      </c>
      <c r="B26" s="44"/>
      <c r="C26" s="44" t="s">
        <v>62</v>
      </c>
      <c r="D26" s="19"/>
      <c r="E26" s="20">
        <v>0</v>
      </c>
      <c r="F26" s="239">
        <f>'P2P Estimates'!K26</f>
        <v>225</v>
      </c>
      <c r="G26" s="114">
        <f t="shared" si="3"/>
        <v>0.0023270967141394397</v>
      </c>
      <c r="H26" s="29">
        <f t="shared" si="0"/>
        <v>0</v>
      </c>
      <c r="I26" s="19"/>
      <c r="J26" s="20">
        <v>0</v>
      </c>
      <c r="K26" s="20">
        <v>0</v>
      </c>
      <c r="L26" s="20">
        <v>0</v>
      </c>
      <c r="M26" s="71">
        <v>0</v>
      </c>
      <c r="N26" s="71">
        <v>0</v>
      </c>
      <c r="O26" s="20">
        <v>0</v>
      </c>
      <c r="P26" s="20">
        <v>0</v>
      </c>
      <c r="Q26" s="19"/>
      <c r="R26" s="55">
        <f t="shared" si="4"/>
        <v>0</v>
      </c>
      <c r="S26" s="29">
        <f t="shared" si="1"/>
        <v>0</v>
      </c>
      <c r="T26" s="68">
        <f t="shared" si="2"/>
        <v>0</v>
      </c>
      <c r="U26" s="1"/>
    </row>
    <row r="27" spans="1:20" ht="12.75">
      <c r="A27" s="108" t="s">
        <v>84</v>
      </c>
      <c r="B27" s="44"/>
      <c r="C27" s="44" t="s">
        <v>62</v>
      </c>
      <c r="D27" s="19"/>
      <c r="E27" s="20">
        <v>0</v>
      </c>
      <c r="F27" s="239">
        <f>'P2P Estimates'!K27</f>
        <v>2771</v>
      </c>
      <c r="G27" s="114">
        <f t="shared" si="3"/>
        <v>0.028659488866135053</v>
      </c>
      <c r="H27" s="29">
        <f t="shared" si="0"/>
        <v>0</v>
      </c>
      <c r="I27" s="19"/>
      <c r="J27" s="20">
        <v>0</v>
      </c>
      <c r="K27" s="20">
        <v>0</v>
      </c>
      <c r="L27" s="20">
        <v>0</v>
      </c>
      <c r="M27" s="71">
        <v>0</v>
      </c>
      <c r="N27" s="71">
        <v>0</v>
      </c>
      <c r="O27" s="20">
        <v>0</v>
      </c>
      <c r="P27" s="20">
        <v>0</v>
      </c>
      <c r="Q27" s="19"/>
      <c r="R27" s="55">
        <f t="shared" si="4"/>
        <v>0</v>
      </c>
      <c r="S27" s="29">
        <f t="shared" si="1"/>
        <v>0</v>
      </c>
      <c r="T27" s="68">
        <f t="shared" si="2"/>
        <v>0</v>
      </c>
    </row>
    <row r="28" spans="1:21" ht="12.75">
      <c r="A28" s="108" t="s">
        <v>85</v>
      </c>
      <c r="B28" s="44"/>
      <c r="C28" s="44" t="s">
        <v>62</v>
      </c>
      <c r="D28" s="19"/>
      <c r="E28" s="20">
        <v>0</v>
      </c>
      <c r="F28" s="239">
        <f>'P2P Estimates'!K28</f>
        <v>612</v>
      </c>
      <c r="G28" s="114">
        <f t="shared" si="3"/>
        <v>0.0063297030624592755</v>
      </c>
      <c r="H28" s="29">
        <f t="shared" si="0"/>
        <v>0</v>
      </c>
      <c r="I28" s="19"/>
      <c r="J28" s="20">
        <v>0</v>
      </c>
      <c r="K28" s="20">
        <v>0</v>
      </c>
      <c r="L28" s="20">
        <v>0</v>
      </c>
      <c r="M28" s="71">
        <v>0</v>
      </c>
      <c r="N28" s="71">
        <v>0</v>
      </c>
      <c r="O28" s="20">
        <v>0</v>
      </c>
      <c r="P28" s="20">
        <v>0</v>
      </c>
      <c r="Q28" s="19"/>
      <c r="R28" s="55">
        <f t="shared" si="4"/>
        <v>0</v>
      </c>
      <c r="S28" s="29">
        <f t="shared" si="1"/>
        <v>0</v>
      </c>
      <c r="T28" s="68">
        <f t="shared" si="2"/>
        <v>0</v>
      </c>
      <c r="U28" s="1"/>
    </row>
    <row r="29" spans="1:20" ht="12.75">
      <c r="A29" s="108" t="s">
        <v>24</v>
      </c>
      <c r="B29" s="44" t="s">
        <v>62</v>
      </c>
      <c r="C29" s="44"/>
      <c r="D29" s="19"/>
      <c r="E29" s="20">
        <v>0</v>
      </c>
      <c r="F29" s="239">
        <f>'P2P Estimates'!K29</f>
        <v>268</v>
      </c>
      <c r="G29" s="114">
        <f t="shared" si="3"/>
        <v>0.0027718307528416435</v>
      </c>
      <c r="H29" s="29">
        <f t="shared" si="0"/>
        <v>0</v>
      </c>
      <c r="I29" s="19"/>
      <c r="J29" s="20">
        <v>0</v>
      </c>
      <c r="K29" s="20">
        <v>0</v>
      </c>
      <c r="L29" s="20">
        <v>0</v>
      </c>
      <c r="M29" s="71">
        <v>0</v>
      </c>
      <c r="N29" s="71">
        <v>0</v>
      </c>
      <c r="O29" s="20">
        <v>0</v>
      </c>
      <c r="P29" s="20">
        <v>0</v>
      </c>
      <c r="Q29" s="19"/>
      <c r="R29" s="55">
        <f t="shared" si="4"/>
        <v>0</v>
      </c>
      <c r="S29" s="29">
        <f t="shared" si="1"/>
        <v>0</v>
      </c>
      <c r="T29" s="68">
        <f t="shared" si="2"/>
        <v>0</v>
      </c>
    </row>
    <row r="30" spans="1:20" ht="12.75">
      <c r="A30" s="108" t="s">
        <v>37</v>
      </c>
      <c r="B30" s="44"/>
      <c r="C30" s="44" t="s">
        <v>62</v>
      </c>
      <c r="D30" s="19"/>
      <c r="E30" s="20">
        <v>0</v>
      </c>
      <c r="F30" s="239">
        <f>'P2P Estimates'!K30</f>
        <v>2531</v>
      </c>
      <c r="G30" s="114">
        <f t="shared" si="3"/>
        <v>0.026177252371052985</v>
      </c>
      <c r="H30" s="29">
        <f t="shared" si="0"/>
        <v>0</v>
      </c>
      <c r="I30" s="19"/>
      <c r="J30" s="20">
        <v>0</v>
      </c>
      <c r="K30" s="20">
        <v>0</v>
      </c>
      <c r="L30" s="20">
        <v>0</v>
      </c>
      <c r="M30" s="71">
        <v>0</v>
      </c>
      <c r="N30" s="71">
        <v>0</v>
      </c>
      <c r="O30" s="20">
        <v>0</v>
      </c>
      <c r="P30" s="20">
        <v>0</v>
      </c>
      <c r="Q30" s="19"/>
      <c r="R30" s="55">
        <f t="shared" si="4"/>
        <v>0</v>
      </c>
      <c r="S30" s="29">
        <f t="shared" si="1"/>
        <v>0</v>
      </c>
      <c r="T30" s="68">
        <f t="shared" si="2"/>
        <v>0</v>
      </c>
    </row>
    <row r="31" spans="1:21" ht="12.75">
      <c r="A31" s="108" t="s">
        <v>25</v>
      </c>
      <c r="B31" s="44" t="s">
        <v>62</v>
      </c>
      <c r="C31" s="44"/>
      <c r="D31" s="19"/>
      <c r="E31" s="20">
        <v>0</v>
      </c>
      <c r="F31" s="239">
        <f>'P2P Estimates'!K31</f>
        <v>126</v>
      </c>
      <c r="G31" s="114">
        <f t="shared" si="3"/>
        <v>0.0013031741599180862</v>
      </c>
      <c r="H31" s="29">
        <f t="shared" si="0"/>
        <v>0</v>
      </c>
      <c r="I31" s="19"/>
      <c r="J31" s="20">
        <v>0</v>
      </c>
      <c r="K31" s="20">
        <v>0</v>
      </c>
      <c r="L31" s="20">
        <v>0</v>
      </c>
      <c r="M31" s="71">
        <v>0</v>
      </c>
      <c r="N31" s="71">
        <v>0</v>
      </c>
      <c r="O31" s="20">
        <v>0</v>
      </c>
      <c r="P31" s="20">
        <v>0</v>
      </c>
      <c r="Q31" s="19"/>
      <c r="R31" s="55">
        <f t="shared" si="4"/>
        <v>0</v>
      </c>
      <c r="S31" s="29">
        <f t="shared" si="1"/>
        <v>0</v>
      </c>
      <c r="T31" s="68">
        <f t="shared" si="2"/>
        <v>0</v>
      </c>
      <c r="U31" s="1"/>
    </row>
    <row r="32" spans="1:21" ht="12.75">
      <c r="A32" s="416" t="s">
        <v>26</v>
      </c>
      <c r="B32" s="44" t="s">
        <v>62</v>
      </c>
      <c r="C32" s="44" t="s">
        <v>5</v>
      </c>
      <c r="D32" s="19"/>
      <c r="E32" s="20">
        <v>0</v>
      </c>
      <c r="F32" s="239">
        <f>'P2P Estimates'!K32</f>
        <v>1983</v>
      </c>
      <c r="G32" s="114">
        <f t="shared" si="3"/>
        <v>0.020509479040615595</v>
      </c>
      <c r="H32" s="29">
        <f t="shared" si="0"/>
        <v>0</v>
      </c>
      <c r="I32" s="19"/>
      <c r="J32" s="20">
        <v>0</v>
      </c>
      <c r="K32" s="20">
        <v>0</v>
      </c>
      <c r="L32" s="20">
        <v>0</v>
      </c>
      <c r="M32" s="71">
        <v>0</v>
      </c>
      <c r="N32" s="71">
        <v>0</v>
      </c>
      <c r="O32" s="20">
        <v>0</v>
      </c>
      <c r="P32" s="20">
        <v>0</v>
      </c>
      <c r="Q32" s="19"/>
      <c r="R32" s="55">
        <f t="shared" si="4"/>
        <v>0</v>
      </c>
      <c r="S32" s="29">
        <f t="shared" si="1"/>
        <v>0</v>
      </c>
      <c r="T32" s="68">
        <f t="shared" si="2"/>
        <v>0</v>
      </c>
      <c r="U32" s="1"/>
    </row>
    <row r="33" spans="1:21" ht="12.75">
      <c r="A33" s="417"/>
      <c r="B33" s="44" t="s">
        <v>5</v>
      </c>
      <c r="C33" s="44" t="s">
        <v>62</v>
      </c>
      <c r="D33" s="19"/>
      <c r="E33" s="20">
        <v>0</v>
      </c>
      <c r="F33" s="239">
        <f>'P2P Estimates'!K33</f>
        <v>921</v>
      </c>
      <c r="G33" s="114">
        <f t="shared" si="3"/>
        <v>0.00952558254987744</v>
      </c>
      <c r="H33" s="29">
        <f t="shared" si="0"/>
        <v>0</v>
      </c>
      <c r="I33" s="19"/>
      <c r="J33" s="20">
        <v>0</v>
      </c>
      <c r="K33" s="20">
        <v>0</v>
      </c>
      <c r="L33" s="20">
        <v>0</v>
      </c>
      <c r="M33" s="71">
        <v>0</v>
      </c>
      <c r="N33" s="71">
        <v>0</v>
      </c>
      <c r="O33" s="20">
        <v>0</v>
      </c>
      <c r="P33" s="20">
        <v>0</v>
      </c>
      <c r="Q33" s="19"/>
      <c r="R33" s="55">
        <f t="shared" si="4"/>
        <v>0</v>
      </c>
      <c r="S33" s="29">
        <f t="shared" si="1"/>
        <v>0</v>
      </c>
      <c r="T33" s="68">
        <f t="shared" si="2"/>
        <v>0</v>
      </c>
      <c r="U33" s="1"/>
    </row>
    <row r="34" spans="1:21" ht="12.75">
      <c r="A34" s="108" t="s">
        <v>60</v>
      </c>
      <c r="B34" s="44"/>
      <c r="C34" s="44" t="s">
        <v>62</v>
      </c>
      <c r="D34" s="19"/>
      <c r="E34" s="20">
        <v>0</v>
      </c>
      <c r="F34" s="239">
        <f>'P2P Estimates'!K34</f>
        <v>245</v>
      </c>
      <c r="G34" s="114">
        <f t="shared" si="3"/>
        <v>0.0025339497553962787</v>
      </c>
      <c r="H34" s="29">
        <f t="shared" si="0"/>
        <v>0</v>
      </c>
      <c r="I34" s="19"/>
      <c r="J34" s="20">
        <v>0</v>
      </c>
      <c r="K34" s="20">
        <v>0</v>
      </c>
      <c r="L34" s="20">
        <v>0</v>
      </c>
      <c r="M34" s="71">
        <v>0</v>
      </c>
      <c r="N34" s="71">
        <v>0</v>
      </c>
      <c r="O34" s="20">
        <v>0</v>
      </c>
      <c r="P34" s="20">
        <v>0</v>
      </c>
      <c r="Q34" s="19"/>
      <c r="R34" s="55">
        <f t="shared" si="4"/>
        <v>0</v>
      </c>
      <c r="S34" s="29">
        <f t="shared" si="1"/>
        <v>0</v>
      </c>
      <c r="T34" s="68">
        <f t="shared" si="2"/>
        <v>0</v>
      </c>
      <c r="U34" s="1"/>
    </row>
    <row r="35" spans="1:21" ht="12.75">
      <c r="A35" s="108" t="s">
        <v>61</v>
      </c>
      <c r="B35" s="44"/>
      <c r="C35" s="44" t="s">
        <v>62</v>
      </c>
      <c r="D35" s="19"/>
      <c r="E35" s="20">
        <v>0</v>
      </c>
      <c r="F35" s="239">
        <f>'P2P Estimates'!K35</f>
        <v>2888</v>
      </c>
      <c r="G35" s="114">
        <f t="shared" si="3"/>
        <v>0.02986957915748756</v>
      </c>
      <c r="H35" s="29">
        <f t="shared" si="0"/>
        <v>0</v>
      </c>
      <c r="I35" s="19"/>
      <c r="J35" s="20">
        <v>0</v>
      </c>
      <c r="K35" s="20">
        <v>0</v>
      </c>
      <c r="L35" s="20">
        <v>0</v>
      </c>
      <c r="M35" s="71">
        <v>0</v>
      </c>
      <c r="N35" s="71">
        <v>0</v>
      </c>
      <c r="O35" s="20">
        <v>0</v>
      </c>
      <c r="P35" s="20">
        <v>0</v>
      </c>
      <c r="Q35" s="19"/>
      <c r="R35" s="55">
        <f t="shared" si="4"/>
        <v>0</v>
      </c>
      <c r="S35" s="29">
        <f t="shared" si="1"/>
        <v>0</v>
      </c>
      <c r="T35" s="68">
        <f t="shared" si="2"/>
        <v>0</v>
      </c>
      <c r="U35" s="1"/>
    </row>
    <row r="36" spans="1:20" ht="12.75">
      <c r="A36" s="108" t="s">
        <v>68</v>
      </c>
      <c r="B36" s="44" t="s">
        <v>62</v>
      </c>
      <c r="C36" s="44"/>
      <c r="D36" s="19"/>
      <c r="E36" s="20">
        <v>0</v>
      </c>
      <c r="F36" s="239">
        <f>'P2P Estimates'!K36</f>
        <v>368</v>
      </c>
      <c r="G36" s="114">
        <f t="shared" si="3"/>
        <v>0.003806095959125839</v>
      </c>
      <c r="H36" s="29">
        <f t="shared" si="0"/>
        <v>0</v>
      </c>
      <c r="I36" s="19"/>
      <c r="J36" s="20">
        <v>0</v>
      </c>
      <c r="K36" s="20">
        <v>0</v>
      </c>
      <c r="L36" s="20">
        <v>0</v>
      </c>
      <c r="M36" s="71">
        <v>0</v>
      </c>
      <c r="N36" s="71">
        <v>0</v>
      </c>
      <c r="O36" s="20">
        <v>0</v>
      </c>
      <c r="P36" s="20">
        <v>0</v>
      </c>
      <c r="Q36" s="19"/>
      <c r="R36" s="55">
        <f t="shared" si="4"/>
        <v>0</v>
      </c>
      <c r="S36" s="29">
        <f t="shared" si="1"/>
        <v>0</v>
      </c>
      <c r="T36" s="68">
        <f t="shared" si="2"/>
        <v>0</v>
      </c>
    </row>
    <row r="37" spans="1:20" ht="12.75">
      <c r="A37" s="108" t="s">
        <v>78</v>
      </c>
      <c r="B37" s="44" t="s">
        <v>62</v>
      </c>
      <c r="C37" s="44"/>
      <c r="D37" s="19"/>
      <c r="E37" s="20">
        <v>0</v>
      </c>
      <c r="F37" s="239">
        <f>'P2P Estimates'!K37</f>
        <v>2373</v>
      </c>
      <c r="G37" s="114">
        <f t="shared" si="3"/>
        <v>0.024543113345123956</v>
      </c>
      <c r="H37" s="29">
        <f>IF(F37&lt;&gt;0,E37/F37,0)</f>
        <v>0</v>
      </c>
      <c r="I37" s="19"/>
      <c r="J37" s="20">
        <v>0</v>
      </c>
      <c r="K37" s="20">
        <v>0</v>
      </c>
      <c r="L37" s="20">
        <v>0</v>
      </c>
      <c r="M37" s="71">
        <v>0</v>
      </c>
      <c r="N37" s="71">
        <v>0</v>
      </c>
      <c r="O37" s="20">
        <v>0</v>
      </c>
      <c r="P37" s="20">
        <v>0</v>
      </c>
      <c r="Q37" s="19"/>
      <c r="R37" s="55">
        <f t="shared" si="4"/>
        <v>0</v>
      </c>
      <c r="S37" s="29">
        <f t="shared" si="1"/>
        <v>0</v>
      </c>
      <c r="T37" s="68">
        <f t="shared" si="2"/>
        <v>0</v>
      </c>
    </row>
    <row r="38" spans="1:20" ht="12.75">
      <c r="A38" s="416" t="s">
        <v>27</v>
      </c>
      <c r="B38" s="44" t="s">
        <v>62</v>
      </c>
      <c r="C38" s="44"/>
      <c r="D38" s="19"/>
      <c r="E38" s="20">
        <v>0</v>
      </c>
      <c r="F38" s="239">
        <f>'P2P Estimates'!K38</f>
        <v>26641</v>
      </c>
      <c r="G38" s="114">
        <f t="shared" si="3"/>
        <v>0.2755385936061725</v>
      </c>
      <c r="H38" s="29">
        <f>IF(F38&lt;&gt;0,E38/F38,0)</f>
        <v>0</v>
      </c>
      <c r="I38" s="19"/>
      <c r="J38" s="20">
        <v>0</v>
      </c>
      <c r="K38" s="20">
        <v>0</v>
      </c>
      <c r="L38" s="20">
        <v>0</v>
      </c>
      <c r="M38" s="71">
        <v>0</v>
      </c>
      <c r="N38" s="71">
        <v>0</v>
      </c>
      <c r="O38" s="20">
        <v>0</v>
      </c>
      <c r="P38" s="20">
        <v>0</v>
      </c>
      <c r="Q38" s="19"/>
      <c r="R38" s="55">
        <f t="shared" si="4"/>
        <v>0</v>
      </c>
      <c r="S38" s="29">
        <f t="shared" si="1"/>
        <v>0</v>
      </c>
      <c r="T38" s="68">
        <f t="shared" si="2"/>
        <v>0</v>
      </c>
    </row>
    <row r="39" spans="1:20" ht="13.5" thickBot="1">
      <c r="A39" s="418"/>
      <c r="B39" s="63"/>
      <c r="C39" s="64" t="s">
        <v>62</v>
      </c>
      <c r="D39" s="22"/>
      <c r="E39" s="23">
        <v>0</v>
      </c>
      <c r="F39" s="241">
        <f>'P2P Estimates'!K39</f>
        <v>4829</v>
      </c>
      <c r="G39" s="115">
        <f t="shared" si="3"/>
        <v>0.0499446668114638</v>
      </c>
      <c r="H39" s="30">
        <f>IF(F39&lt;&gt;0,E39/F39,0)</f>
        <v>0</v>
      </c>
      <c r="I39" s="22"/>
      <c r="J39" s="23">
        <v>0</v>
      </c>
      <c r="K39" s="23">
        <v>0</v>
      </c>
      <c r="L39" s="23">
        <v>0</v>
      </c>
      <c r="M39" s="72">
        <v>0</v>
      </c>
      <c r="N39" s="72">
        <v>0</v>
      </c>
      <c r="O39" s="23">
        <v>0</v>
      </c>
      <c r="P39" s="23">
        <v>0</v>
      </c>
      <c r="Q39" s="22"/>
      <c r="R39" s="62">
        <f t="shared" si="4"/>
        <v>0</v>
      </c>
      <c r="S39" s="30">
        <f t="shared" si="1"/>
        <v>0</v>
      </c>
      <c r="T39" s="69">
        <f t="shared" si="2"/>
        <v>0</v>
      </c>
    </row>
    <row r="40" spans="1:20" ht="7.5" customHeight="1" thickBot="1">
      <c r="A40" s="3"/>
      <c r="B40" s="46"/>
      <c r="C40" s="46"/>
      <c r="D40" s="25"/>
      <c r="E40" s="9"/>
      <c r="F40" s="243"/>
      <c r="G40" s="9"/>
      <c r="H40" s="8"/>
      <c r="I40" s="9"/>
      <c r="J40" s="9"/>
      <c r="K40" s="9"/>
      <c r="L40" s="9"/>
      <c r="M40" s="9"/>
      <c r="N40" s="9"/>
      <c r="O40" s="9"/>
      <c r="P40" s="9"/>
      <c r="Q40" s="9"/>
      <c r="R40" s="27"/>
      <c r="S40" s="8"/>
      <c r="T40" s="99"/>
    </row>
    <row r="41" spans="1:20" s="98" customFormat="1" ht="15.75" thickBot="1">
      <c r="A41" s="11" t="s">
        <v>1</v>
      </c>
      <c r="B41" s="94"/>
      <c r="C41" s="94"/>
      <c r="D41" s="95">
        <f>SUM(D2:D38)</f>
        <v>0</v>
      </c>
      <c r="E41" s="96">
        <f>SUM(E2:E39)</f>
        <v>0</v>
      </c>
      <c r="F41" s="244">
        <f>SUM(F2:F39)</f>
        <v>96687</v>
      </c>
      <c r="G41" s="97">
        <f t="shared" si="3"/>
        <v>1</v>
      </c>
      <c r="H41" s="97">
        <f>IF(F41&lt;&gt;0,E41/F41,0)</f>
        <v>0</v>
      </c>
      <c r="I41" s="106"/>
      <c r="J41" s="96">
        <f aca="true" t="shared" si="5" ref="J41:P41">SUM(J2:J39)</f>
        <v>0</v>
      </c>
      <c r="K41" s="96">
        <f t="shared" si="5"/>
        <v>0</v>
      </c>
      <c r="L41" s="96">
        <f t="shared" si="5"/>
        <v>0</v>
      </c>
      <c r="M41" s="96">
        <f t="shared" si="5"/>
        <v>0</v>
      </c>
      <c r="N41" s="96">
        <f t="shared" si="5"/>
        <v>0</v>
      </c>
      <c r="O41" s="96">
        <f t="shared" si="5"/>
        <v>0</v>
      </c>
      <c r="P41" s="96">
        <f t="shared" si="5"/>
        <v>0</v>
      </c>
      <c r="Q41" s="106"/>
      <c r="R41" s="107">
        <f>SUM(J41:P41)</f>
        <v>0</v>
      </c>
      <c r="S41" s="97">
        <f>IF(E41&lt;&gt;0,(J41+K41+L41+O41+P41)/E41,0)</f>
        <v>0</v>
      </c>
      <c r="T41" s="12">
        <f>IF(E41&lt;&gt;0,(R41)/E41,0)</f>
        <v>0</v>
      </c>
    </row>
    <row r="42" spans="2:3" ht="14.25">
      <c r="B42" s="13"/>
      <c r="C42" s="13"/>
    </row>
    <row r="43" spans="2:3" ht="14.25">
      <c r="B43" s="13"/>
      <c r="C43" s="13"/>
    </row>
    <row r="44" spans="2:3" ht="14.25">
      <c r="B44" s="13"/>
      <c r="C44" s="13"/>
    </row>
    <row r="45" spans="2:3" ht="14.25">
      <c r="B45" s="13"/>
      <c r="C45" s="13"/>
    </row>
    <row r="46" spans="2:5" ht="14.25">
      <c r="B46" s="13"/>
      <c r="C46" s="13"/>
      <c r="E46" s="9"/>
    </row>
    <row r="47" spans="2:3" ht="14.25">
      <c r="B47" s="13"/>
      <c r="C47" s="13"/>
    </row>
    <row r="48" spans="1:3" ht="14.25">
      <c r="A48" t="s">
        <v>5</v>
      </c>
      <c r="B48" s="13"/>
      <c r="C48" s="13"/>
    </row>
    <row r="49" spans="2:3" ht="14.25">
      <c r="B49" s="13"/>
      <c r="C49" s="13"/>
    </row>
    <row r="50" spans="2:3" ht="14.25">
      <c r="B50" s="13"/>
      <c r="C50" s="13"/>
    </row>
    <row r="55" spans="24:25" ht="14.25">
      <c r="X55" s="105"/>
      <c r="Y55" s="105"/>
    </row>
    <row r="56" spans="24:25" ht="14.25">
      <c r="X56" s="105"/>
      <c r="Y56" s="105"/>
    </row>
    <row r="57" spans="24:25" ht="14.25">
      <c r="X57" s="105"/>
      <c r="Y57" s="105"/>
    </row>
    <row r="58" spans="24:25" ht="14.25">
      <c r="X58" s="105"/>
      <c r="Y58" s="105"/>
    </row>
  </sheetData>
  <mergeCells count="9">
    <mergeCell ref="A15:A16"/>
    <mergeCell ref="A9:A10"/>
    <mergeCell ref="A2:A3"/>
    <mergeCell ref="A4:A5"/>
    <mergeCell ref="A7:A8"/>
    <mergeCell ref="A38:A39"/>
    <mergeCell ref="A32:A33"/>
    <mergeCell ref="A21:A22"/>
    <mergeCell ref="A24:A25"/>
  </mergeCells>
  <printOptions/>
  <pageMargins left="0.2" right="0.27" top="0.76" bottom="0.52" header="0.27" footer="0.21"/>
  <pageSetup fitToHeight="1" fitToWidth="1" horizontalDpi="300" verticalDpi="300" orientation="portrait" scale="79" r:id="rId1"/>
  <headerFooter alignWithMargins="0">
    <oddHeader>&amp;C&amp;"Arial,Bold"&amp;16EDS 1 - Release 2 Point-to-Point Verification</oddHeader>
    <oddFooter>&amp;L&amp;F&amp;C&amp;P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jwebb</cp:lastModifiedBy>
  <cp:lastPrinted>2007-05-15T20:56:01Z</cp:lastPrinted>
  <dcterms:created xsi:type="dcterms:W3CDTF">1996-10-14T23:33:28Z</dcterms:created>
  <dcterms:modified xsi:type="dcterms:W3CDTF">2007-05-15T20:59:21Z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