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ERCOT</author>
  </authors>
  <commentList>
    <comment ref="G13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 Deployments
Gas: FIP * [9.5 + (Heat Rate - 7.2)]
For Down Deployments
Gas:  FIP * [5 + (Heat Rate - 7.2)]</t>
        </r>
      </text>
    </comment>
    <comment ref="K13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Up,
Net Revenue = Resource Imbalance + OOME Payment - (MW/4 * Marginal Cost)
For Down,
Net Revenue = Resource Imbalance + OOME Payment + (MW/4 * Marginal Cost)</t>
        </r>
      </text>
    </comment>
    <comment ref="G29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 Deployments
Gas: FIP * [9.5 + (Heat Rate - 7.2)]
For Down Deployments
Gas:  FIP * [5 + (Heat Rate - 7.2)]</t>
        </r>
      </text>
    </comment>
    <comment ref="K29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Up,
Net Revenue = Resource Imbalance + OOME Payment - (MW/4 * Marginal Cost)
For Down,
Net Revenue = Resource Imbalance + OOME Payment + (MW/4 * Marginal Cost)</t>
        </r>
      </text>
    </comment>
    <comment ref="G46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 Deployments
Gas: FIP * [9.5 + (Heat Rate - 7.2)]
For Down Deployments
Gas:  FIP * [5 + (Heat Rate - 7.2)]</t>
        </r>
      </text>
    </comment>
    <comment ref="K46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Up,
Net Revenue = Resource Imbalance + OOME Payment - (MW/4 * Marginal Cost)
For Down,
Net Revenue = Resource Imbalance + OOME Payment + (MW/4 * Marginal Cost)</t>
        </r>
      </text>
    </comment>
    <comment ref="G58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 Deployments
Gas: FIP * [9.5 + (Heat Rate - 7.2)]
For Down Deployments
Gas:  FIP * [5 + (Heat Rate - 7.2)]</t>
        </r>
      </text>
    </comment>
    <comment ref="K58" authorId="0">
      <text>
        <r>
          <rPr>
            <b/>
            <sz val="8"/>
            <rFont val="Tahoma"/>
            <family val="0"/>
          </rPr>
          <t>ERCOT:</t>
        </r>
        <r>
          <rPr>
            <sz val="8"/>
            <rFont val="Tahoma"/>
            <family val="0"/>
          </rPr>
          <t xml:space="preserve">
For Up,
Net Revenue = Resource Imbalance + OOME Payment - (MW/4 * Marginal Cost)
For Down,
Net Revenue = Resource Imbalance + OOME Payment + (MW/4 * Marginal Cost)</t>
        </r>
      </text>
    </comment>
  </commentList>
</comments>
</file>

<file path=xl/sharedStrings.xml><?xml version="1.0" encoding="utf-8"?>
<sst xmlns="http://schemas.openxmlformats.org/spreadsheetml/2006/main" count="168" uniqueCount="40">
  <si>
    <t>HR</t>
  </si>
  <si>
    <t>Instructed MW</t>
  </si>
  <si>
    <t>Category</t>
  </si>
  <si>
    <t>Input Tables</t>
  </si>
  <si>
    <t>RCGFC for Up</t>
  </si>
  <si>
    <t>RCGFC for Down</t>
  </si>
  <si>
    <t>Nuclear</t>
  </si>
  <si>
    <t>Hydro</t>
  </si>
  <si>
    <t>Coal and Lignite</t>
  </si>
  <si>
    <t>Combined Cycle &gt; 90</t>
  </si>
  <si>
    <t>Combined Cycle &lt;= 90</t>
  </si>
  <si>
    <t>Fuel Index</t>
  </si>
  <si>
    <t>Gas Steam Non-reheat</t>
  </si>
  <si>
    <t>Simple Cycle &gt; 90</t>
  </si>
  <si>
    <t>Simple Cycle &lt;= 90</t>
  </si>
  <si>
    <t>Diesel</t>
  </si>
  <si>
    <t>Renewable</t>
  </si>
  <si>
    <t>Block Load</t>
  </si>
  <si>
    <t>MCPE</t>
  </si>
  <si>
    <t>Gas?</t>
  </si>
  <si>
    <t>Resource Imbalance ($)</t>
  </si>
  <si>
    <t>Net Revenue ($)</t>
  </si>
  <si>
    <t>Bid Limit ($/MWh)</t>
  </si>
  <si>
    <t>Bid Price ($/MWh)</t>
  </si>
  <si>
    <r>
      <t xml:space="preserve">Directions:
</t>
    </r>
    <r>
      <rPr>
        <sz val="10"/>
        <rFont val="Arial"/>
        <family val="2"/>
      </rPr>
      <t>1. All green cells are modifiable.</t>
    </r>
  </si>
  <si>
    <t>LBE Payment ($)</t>
  </si>
  <si>
    <t>Marginal Cost ($/MWh)</t>
  </si>
  <si>
    <t>Net Payment (S)</t>
  </si>
  <si>
    <r>
      <t xml:space="preserve">Assumptions
</t>
    </r>
    <r>
      <rPr>
        <sz val="10"/>
        <rFont val="Arial"/>
        <family val="2"/>
      </rPr>
      <t xml:space="preserve">1.  Generic Cost calculations use PRR 371 changes.
2.  Metered Generation = Plan MW + Instructed MW
3.  For Marginal Cost calculation, assume VOM for all units of 4
4.  Instructed MW is the only deviation from Scheduled Resource
5.  For payments, negative numbers assume payment to QSE.  Positive numbers assume payment to ERCOT from QSE. </t>
    </r>
  </si>
  <si>
    <t>Up Deployment</t>
  </si>
  <si>
    <t>Combined Cycle  &lt;= 90</t>
  </si>
  <si>
    <t>Gas Steam Super Boiler</t>
  </si>
  <si>
    <t>Gas Steam Reheat Boiler</t>
  </si>
  <si>
    <t>Generic HR</t>
  </si>
  <si>
    <t>HR Adder</t>
  </si>
  <si>
    <t>VOM</t>
  </si>
  <si>
    <t>X%</t>
  </si>
  <si>
    <t>Heat Rate Adder</t>
  </si>
  <si>
    <t>%</t>
  </si>
  <si>
    <t>Down Deployment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</si>
</sst>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Border="1" applyAlignment="1">
      <alignment vertical="top"/>
    </xf>
    <xf numFmtId="2" fontId="0" fillId="0" borderId="1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3" borderId="11" xfId="0" applyFont="1" applyFill="1" applyBorder="1" applyAlignment="1">
      <alignment/>
    </xf>
    <xf numFmtId="9" fontId="0" fillId="0" borderId="0" xfId="0" applyNumberFormat="1" applyAlignment="1">
      <alignment/>
    </xf>
    <xf numFmtId="0" fontId="1" fillId="5" borderId="1" xfId="0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0" fontId="0" fillId="5" borderId="0" xfId="0" applyFill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2" fontId="0" fillId="5" borderId="2" xfId="0" applyNumberForma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12" xfId="0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2" fontId="0" fillId="5" borderId="13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B7">
      <selection activeCell="E9" sqref="E9"/>
    </sheetView>
  </sheetViews>
  <sheetFormatPr defaultColWidth="9.140625" defaultRowHeight="12.75"/>
  <cols>
    <col min="1" max="1" width="22.7109375" style="0" customWidth="1"/>
    <col min="2" max="2" width="14.140625" style="0" customWidth="1"/>
    <col min="5" max="6" width="13.28125" style="0" customWidth="1"/>
    <col min="7" max="7" width="15.28125" style="0" customWidth="1"/>
    <col min="8" max="8" width="15.00390625" style="0" customWidth="1"/>
    <col min="9" max="9" width="14.140625" style="0" customWidth="1"/>
    <col min="10" max="10" width="13.57421875" style="0" customWidth="1"/>
    <col min="11" max="11" width="12.421875" style="0" customWidth="1"/>
    <col min="12" max="12" width="15.421875" style="0" customWidth="1"/>
    <col min="13" max="15" width="13.28125" style="0" customWidth="1"/>
    <col min="16" max="16" width="12.421875" style="0" customWidth="1"/>
    <col min="23" max="23" width="22.28125" style="0" bestFit="1" customWidth="1"/>
    <col min="24" max="24" width="16.00390625" style="0" customWidth="1"/>
    <col min="25" max="25" width="17.7109375" style="0" customWidth="1"/>
    <col min="26" max="26" width="11.140625" style="0" customWidth="1"/>
  </cols>
  <sheetData>
    <row r="1" spans="1:15" ht="12.75" customHeight="1">
      <c r="A1" s="54" t="s">
        <v>24</v>
      </c>
      <c r="B1" s="63"/>
      <c r="I1" s="54" t="s">
        <v>28</v>
      </c>
      <c r="J1" s="55"/>
      <c r="K1" s="55"/>
      <c r="L1" s="55"/>
      <c r="M1" s="55"/>
      <c r="N1" s="56"/>
      <c r="O1" s="14"/>
    </row>
    <row r="2" spans="1:15" ht="12.75">
      <c r="A2" s="64"/>
      <c r="B2" s="65"/>
      <c r="I2" s="57"/>
      <c r="J2" s="58"/>
      <c r="K2" s="58"/>
      <c r="L2" s="58"/>
      <c r="M2" s="58"/>
      <c r="N2" s="59"/>
      <c r="O2" s="14"/>
    </row>
    <row r="3" spans="1:15" ht="12.75">
      <c r="A3" s="64"/>
      <c r="B3" s="65"/>
      <c r="I3" s="57"/>
      <c r="J3" s="58"/>
      <c r="K3" s="58"/>
      <c r="L3" s="58"/>
      <c r="M3" s="58"/>
      <c r="N3" s="59"/>
      <c r="O3" s="14"/>
    </row>
    <row r="4" spans="1:15" ht="12.75">
      <c r="A4" s="64"/>
      <c r="B4" s="65"/>
      <c r="I4" s="57"/>
      <c r="J4" s="58"/>
      <c r="K4" s="58"/>
      <c r="L4" s="58"/>
      <c r="M4" s="58"/>
      <c r="N4" s="59"/>
      <c r="O4" s="14"/>
    </row>
    <row r="5" spans="1:15" ht="12.75">
      <c r="A5" s="64"/>
      <c r="B5" s="65"/>
      <c r="I5" s="57"/>
      <c r="J5" s="58"/>
      <c r="K5" s="58"/>
      <c r="L5" s="58"/>
      <c r="M5" s="58"/>
      <c r="N5" s="59"/>
      <c r="O5" s="14"/>
    </row>
    <row r="6" spans="1:15" ht="13.5" thickBot="1">
      <c r="A6" s="66"/>
      <c r="B6" s="67"/>
      <c r="I6" s="57"/>
      <c r="J6" s="58"/>
      <c r="K6" s="58"/>
      <c r="L6" s="58"/>
      <c r="M6" s="58"/>
      <c r="N6" s="59"/>
      <c r="O6" s="14"/>
    </row>
    <row r="7" spans="4:15" ht="13.5" thickBot="1">
      <c r="D7" t="s">
        <v>36</v>
      </c>
      <c r="E7" s="32">
        <v>0.15</v>
      </c>
      <c r="I7" s="60"/>
      <c r="J7" s="61"/>
      <c r="K7" s="61"/>
      <c r="L7" s="61"/>
      <c r="M7" s="61"/>
      <c r="N7" s="62"/>
      <c r="O7" s="6"/>
    </row>
    <row r="8" spans="1:15" ht="12.75">
      <c r="A8" s="2" t="s">
        <v>18</v>
      </c>
      <c r="B8" s="5">
        <v>30</v>
      </c>
      <c r="D8" t="s">
        <v>34</v>
      </c>
      <c r="E8">
        <v>1.25</v>
      </c>
      <c r="I8" s="6"/>
      <c r="J8" s="6"/>
      <c r="K8" s="6"/>
      <c r="L8" s="6"/>
      <c r="M8" s="6"/>
      <c r="N8" s="6"/>
      <c r="O8" s="6"/>
    </row>
    <row r="9" spans="1:5" ht="12.75">
      <c r="A9" s="2" t="s">
        <v>11</v>
      </c>
      <c r="B9" s="5">
        <v>4.5</v>
      </c>
      <c r="D9" t="s">
        <v>35</v>
      </c>
      <c r="E9">
        <v>0</v>
      </c>
    </row>
    <row r="11" ht="13.5" thickBot="1">
      <c r="A11" t="s">
        <v>29</v>
      </c>
    </row>
    <row r="12" spans="1:21" ht="12.75">
      <c r="A12" s="68" t="s">
        <v>2</v>
      </c>
      <c r="B12" s="69" t="s">
        <v>33</v>
      </c>
      <c r="C12" s="23"/>
      <c r="D12" s="50" t="s">
        <v>1</v>
      </c>
      <c r="E12" s="50" t="s">
        <v>26</v>
      </c>
      <c r="F12" s="50" t="s">
        <v>20</v>
      </c>
      <c r="G12" s="51" t="s">
        <v>37</v>
      </c>
      <c r="H12" s="52"/>
      <c r="I12" s="52"/>
      <c r="J12" s="52"/>
      <c r="K12" s="53"/>
      <c r="R12" s="49" t="s">
        <v>3</v>
      </c>
      <c r="S12" s="49"/>
      <c r="T12" s="49"/>
      <c r="U12" s="49"/>
    </row>
    <row r="13" spans="1:21" ht="26.25" customHeight="1">
      <c r="A13" s="68"/>
      <c r="B13" s="70"/>
      <c r="C13" s="23" t="s">
        <v>0</v>
      </c>
      <c r="D13" s="50"/>
      <c r="E13" s="50"/>
      <c r="F13" s="50"/>
      <c r="G13" s="9" t="s">
        <v>22</v>
      </c>
      <c r="H13" s="1" t="s">
        <v>23</v>
      </c>
      <c r="I13" s="1" t="s">
        <v>25</v>
      </c>
      <c r="J13" s="7" t="s">
        <v>27</v>
      </c>
      <c r="K13" s="19" t="s">
        <v>21</v>
      </c>
      <c r="L13" s="76" t="s">
        <v>38</v>
      </c>
      <c r="R13" s="4" t="s">
        <v>2</v>
      </c>
      <c r="S13" s="4" t="s">
        <v>4</v>
      </c>
      <c r="T13" s="4" t="s">
        <v>5</v>
      </c>
      <c r="U13" s="3" t="s">
        <v>19</v>
      </c>
    </row>
    <row r="14" spans="1:21" ht="12.75">
      <c r="A14" s="5" t="s">
        <v>9</v>
      </c>
      <c r="B14" s="5">
        <v>9</v>
      </c>
      <c r="C14" s="8">
        <v>9</v>
      </c>
      <c r="D14" s="8">
        <v>4</v>
      </c>
      <c r="E14" s="13">
        <f>(C14*$B$9)+$E$9</f>
        <v>40.5</v>
      </c>
      <c r="F14" s="13">
        <f aca="true" t="shared" si="0" ref="F14:F26">-D14/4*$B$8</f>
        <v>-30</v>
      </c>
      <c r="G14" s="10">
        <f>(B14+$E$8)*$B$9</f>
        <v>46.125</v>
      </c>
      <c r="H14" s="5">
        <f>G14</f>
        <v>46.125</v>
      </c>
      <c r="I14" s="15">
        <f>-D14/4*MAX(0,H14-$B$8)</f>
        <v>-16.125</v>
      </c>
      <c r="J14" s="17">
        <f aca="true" t="shared" si="1" ref="J14:J26">F14+I14</f>
        <v>-46.125</v>
      </c>
      <c r="K14" s="16">
        <f>-J14-D14*E14/4</f>
        <v>5.625</v>
      </c>
      <c r="L14" s="48">
        <f>K30</f>
        <v>6.074999999999996</v>
      </c>
      <c r="R14" s="4" t="s">
        <v>6</v>
      </c>
      <c r="S14" s="4">
        <v>15</v>
      </c>
      <c r="T14" s="4">
        <v>0</v>
      </c>
      <c r="U14" s="4">
        <v>0</v>
      </c>
    </row>
    <row r="15" spans="1:21" ht="12.75">
      <c r="A15" s="5" t="s">
        <v>30</v>
      </c>
      <c r="B15" s="5">
        <v>10</v>
      </c>
      <c r="C15" s="8">
        <v>10</v>
      </c>
      <c r="D15" s="8">
        <v>4</v>
      </c>
      <c r="E15" s="13">
        <f aca="true" t="shared" si="2" ref="E15:E22">(C15*$B$9)+$E$9</f>
        <v>45</v>
      </c>
      <c r="F15" s="13">
        <f t="shared" si="0"/>
        <v>-30</v>
      </c>
      <c r="G15" s="10">
        <f aca="true" t="shared" si="3" ref="G15:G22">(B15+$E$8)*$B$9</f>
        <v>50.625</v>
      </c>
      <c r="H15" s="5">
        <f aca="true" t="shared" si="4" ref="H15:H26">G15</f>
        <v>50.625</v>
      </c>
      <c r="I15" s="15">
        <f aca="true" t="shared" si="5" ref="I15:I26">-D15/4*MAX(0,H15-$B$8)</f>
        <v>-20.625</v>
      </c>
      <c r="J15" s="17">
        <f t="shared" si="1"/>
        <v>-50.625</v>
      </c>
      <c r="K15" s="16">
        <f aca="true" t="shared" si="6" ref="K15:K26">-J15-D15*E15/4</f>
        <v>5.625</v>
      </c>
      <c r="L15" s="48">
        <f aca="true" t="shared" si="7" ref="L15:L26">K31</f>
        <v>6.749999999999993</v>
      </c>
      <c r="R15" s="4" t="s">
        <v>7</v>
      </c>
      <c r="S15" s="4">
        <v>10</v>
      </c>
      <c r="T15" s="4">
        <v>0</v>
      </c>
      <c r="U15" s="4">
        <v>0</v>
      </c>
    </row>
    <row r="16" spans="1:21" ht="12.75">
      <c r="A16" s="5" t="s">
        <v>31</v>
      </c>
      <c r="B16" s="5">
        <v>10.5</v>
      </c>
      <c r="C16" s="8">
        <v>10.5</v>
      </c>
      <c r="D16" s="8">
        <v>4</v>
      </c>
      <c r="E16" s="13">
        <f t="shared" si="2"/>
        <v>47.25</v>
      </c>
      <c r="F16" s="13">
        <f t="shared" si="0"/>
        <v>-30</v>
      </c>
      <c r="G16" s="10">
        <f t="shared" si="3"/>
        <v>52.875</v>
      </c>
      <c r="H16" s="5">
        <f t="shared" si="4"/>
        <v>52.875</v>
      </c>
      <c r="I16" s="15">
        <f t="shared" si="5"/>
        <v>-22.875</v>
      </c>
      <c r="J16" s="17">
        <f t="shared" si="1"/>
        <v>-52.875</v>
      </c>
      <c r="K16" s="16">
        <f t="shared" si="6"/>
        <v>5.625</v>
      </c>
      <c r="L16" s="48">
        <f t="shared" si="7"/>
        <v>7.087499999999999</v>
      </c>
      <c r="R16" s="4" t="s">
        <v>8</v>
      </c>
      <c r="S16" s="4">
        <v>18</v>
      </c>
      <c r="T16" s="4">
        <v>3</v>
      </c>
      <c r="U16" s="4">
        <v>0</v>
      </c>
    </row>
    <row r="17" spans="1:21" ht="12.75">
      <c r="A17" s="11" t="s">
        <v>32</v>
      </c>
      <c r="B17" s="11">
        <v>11.5</v>
      </c>
      <c r="C17" s="12">
        <v>11.5</v>
      </c>
      <c r="D17" s="8">
        <v>4</v>
      </c>
      <c r="E17" s="13">
        <f t="shared" si="2"/>
        <v>51.75</v>
      </c>
      <c r="F17" s="13">
        <f t="shared" si="0"/>
        <v>-30</v>
      </c>
      <c r="G17" s="10">
        <f t="shared" si="3"/>
        <v>57.375</v>
      </c>
      <c r="H17" s="5">
        <f t="shared" si="4"/>
        <v>57.375</v>
      </c>
      <c r="I17" s="15">
        <f t="shared" si="5"/>
        <v>-27.375</v>
      </c>
      <c r="J17" s="17">
        <f t="shared" si="1"/>
        <v>-57.375</v>
      </c>
      <c r="K17" s="16">
        <f t="shared" si="6"/>
        <v>5.625</v>
      </c>
      <c r="L17" s="48">
        <f t="shared" si="7"/>
        <v>7.762499999999996</v>
      </c>
      <c r="R17" s="4" t="s">
        <v>9</v>
      </c>
      <c r="S17" s="4">
        <f>9*$B$9</f>
        <v>40.5</v>
      </c>
      <c r="T17" s="4">
        <f>5*$B$9</f>
        <v>22.5</v>
      </c>
      <c r="U17" s="4">
        <v>1</v>
      </c>
    </row>
    <row r="18" spans="1:21" ht="13.5" thickBot="1">
      <c r="A18" s="5" t="s">
        <v>12</v>
      </c>
      <c r="B18" s="5">
        <v>14.5</v>
      </c>
      <c r="C18" s="5">
        <v>14.5</v>
      </c>
      <c r="D18" s="8">
        <v>4</v>
      </c>
      <c r="E18" s="13">
        <f t="shared" si="2"/>
        <v>65.25</v>
      </c>
      <c r="F18" s="13">
        <f t="shared" si="0"/>
        <v>-30</v>
      </c>
      <c r="G18" s="10">
        <f t="shared" si="3"/>
        <v>70.875</v>
      </c>
      <c r="H18" s="5">
        <f t="shared" si="4"/>
        <v>70.875</v>
      </c>
      <c r="I18" s="15">
        <f t="shared" si="5"/>
        <v>-40.875</v>
      </c>
      <c r="J18" s="18">
        <f t="shared" si="1"/>
        <v>-70.875</v>
      </c>
      <c r="K18" s="16">
        <f t="shared" si="6"/>
        <v>5.625</v>
      </c>
      <c r="L18" s="48">
        <f t="shared" si="7"/>
        <v>9.787499999999994</v>
      </c>
      <c r="R18" s="4" t="s">
        <v>10</v>
      </c>
      <c r="S18" s="4">
        <f>10*$B$9</f>
        <v>45</v>
      </c>
      <c r="T18" s="4">
        <f>6.5*$B$9</f>
        <v>29.25</v>
      </c>
      <c r="U18" s="4">
        <v>1</v>
      </c>
    </row>
    <row r="19" spans="1:21" ht="12.75">
      <c r="A19" s="5" t="s">
        <v>13</v>
      </c>
      <c r="B19" s="5">
        <v>14</v>
      </c>
      <c r="C19" s="8">
        <v>14</v>
      </c>
      <c r="D19" s="8">
        <v>4</v>
      </c>
      <c r="E19" s="13">
        <f t="shared" si="2"/>
        <v>63</v>
      </c>
      <c r="F19" s="13">
        <f t="shared" si="0"/>
        <v>-30</v>
      </c>
      <c r="G19" s="10">
        <f t="shared" si="3"/>
        <v>68.625</v>
      </c>
      <c r="H19" s="5">
        <f t="shared" si="4"/>
        <v>68.625</v>
      </c>
      <c r="I19" s="15">
        <f t="shared" si="5"/>
        <v>-38.625</v>
      </c>
      <c r="J19" s="17">
        <f t="shared" si="1"/>
        <v>-68.625</v>
      </c>
      <c r="K19" s="16">
        <f t="shared" si="6"/>
        <v>5.625</v>
      </c>
      <c r="L19" s="48">
        <f t="shared" si="7"/>
        <v>9.449999999999989</v>
      </c>
      <c r="R19" s="4" t="s">
        <v>6</v>
      </c>
      <c r="S19" s="4">
        <v>15</v>
      </c>
      <c r="T19" s="4">
        <v>0</v>
      </c>
      <c r="U19" s="4">
        <v>0</v>
      </c>
    </row>
    <row r="20" spans="1:21" ht="12.75">
      <c r="A20" s="5" t="s">
        <v>14</v>
      </c>
      <c r="B20" s="5">
        <v>15</v>
      </c>
      <c r="C20" s="8">
        <v>15</v>
      </c>
      <c r="D20" s="8">
        <v>4</v>
      </c>
      <c r="E20" s="13">
        <f t="shared" si="2"/>
        <v>67.5</v>
      </c>
      <c r="F20" s="13">
        <f t="shared" si="0"/>
        <v>-30</v>
      </c>
      <c r="G20" s="10">
        <f t="shared" si="3"/>
        <v>73.125</v>
      </c>
      <c r="H20" s="5">
        <f t="shared" si="4"/>
        <v>73.125</v>
      </c>
      <c r="I20" s="15">
        <f t="shared" si="5"/>
        <v>-43.125</v>
      </c>
      <c r="J20" s="17">
        <f t="shared" si="1"/>
        <v>-73.125</v>
      </c>
      <c r="K20" s="16">
        <f t="shared" si="6"/>
        <v>5.625</v>
      </c>
      <c r="L20" s="48">
        <f t="shared" si="7"/>
        <v>10.125</v>
      </c>
      <c r="R20" s="4" t="s">
        <v>7</v>
      </c>
      <c r="S20" s="4">
        <v>10</v>
      </c>
      <c r="T20" s="4">
        <v>0</v>
      </c>
      <c r="U20" s="4">
        <v>0</v>
      </c>
    </row>
    <row r="21" spans="1:21" ht="12.75">
      <c r="A21" s="5" t="s">
        <v>17</v>
      </c>
      <c r="B21" s="5">
        <v>18</v>
      </c>
      <c r="C21" s="8">
        <v>18</v>
      </c>
      <c r="D21" s="8">
        <v>4</v>
      </c>
      <c r="E21" s="13">
        <f t="shared" si="2"/>
        <v>81</v>
      </c>
      <c r="F21" s="13">
        <f t="shared" si="0"/>
        <v>-30</v>
      </c>
      <c r="G21" s="10">
        <f t="shared" si="3"/>
        <v>86.625</v>
      </c>
      <c r="H21" s="5">
        <f t="shared" si="4"/>
        <v>86.625</v>
      </c>
      <c r="I21" s="15">
        <f t="shared" si="5"/>
        <v>-56.625</v>
      </c>
      <c r="J21" s="17">
        <f t="shared" si="1"/>
        <v>-86.625</v>
      </c>
      <c r="K21" s="16">
        <f t="shared" si="6"/>
        <v>5.625</v>
      </c>
      <c r="L21" s="48">
        <f t="shared" si="7"/>
        <v>12.149999999999991</v>
      </c>
      <c r="R21" s="4" t="s">
        <v>8</v>
      </c>
      <c r="S21" s="4">
        <v>18</v>
      </c>
      <c r="T21" s="4">
        <v>3</v>
      </c>
      <c r="U21" s="4">
        <v>0</v>
      </c>
    </row>
    <row r="22" spans="1:21" ht="12.75">
      <c r="A22" s="11" t="s">
        <v>15</v>
      </c>
      <c r="B22" s="11">
        <v>16</v>
      </c>
      <c r="C22" s="12">
        <v>16</v>
      </c>
      <c r="D22" s="8">
        <v>4</v>
      </c>
      <c r="E22" s="13">
        <f t="shared" si="2"/>
        <v>72</v>
      </c>
      <c r="F22" s="13">
        <f t="shared" si="0"/>
        <v>-30</v>
      </c>
      <c r="G22" s="10">
        <f t="shared" si="3"/>
        <v>77.625</v>
      </c>
      <c r="H22" s="5">
        <f t="shared" si="4"/>
        <v>77.625</v>
      </c>
      <c r="I22" s="15">
        <f t="shared" si="5"/>
        <v>-47.625</v>
      </c>
      <c r="J22" s="17">
        <f t="shared" si="1"/>
        <v>-77.625</v>
      </c>
      <c r="K22" s="16">
        <f t="shared" si="6"/>
        <v>5.625</v>
      </c>
      <c r="L22" s="48">
        <f t="shared" si="7"/>
        <v>10.799999999999997</v>
      </c>
      <c r="R22" s="4" t="s">
        <v>9</v>
      </c>
      <c r="S22" s="4">
        <f>9*$B$9</f>
        <v>40.5</v>
      </c>
      <c r="T22" s="4">
        <f>5*$B$9</f>
        <v>22.5</v>
      </c>
      <c r="U22" s="4">
        <v>1</v>
      </c>
    </row>
    <row r="23" spans="1:21" s="39" customFormat="1" ht="13.5" thickBot="1">
      <c r="A23" s="33" t="s">
        <v>6</v>
      </c>
      <c r="B23" s="33">
        <v>15</v>
      </c>
      <c r="C23" s="33">
        <v>15</v>
      </c>
      <c r="D23" s="75">
        <v>4</v>
      </c>
      <c r="E23" s="34">
        <f>C23</f>
        <v>15</v>
      </c>
      <c r="F23" s="34">
        <f t="shared" si="0"/>
        <v>-30</v>
      </c>
      <c r="G23" s="35">
        <f>B23+$E$8*$B$9</f>
        <v>20.625</v>
      </c>
      <c r="H23" s="33">
        <f t="shared" si="4"/>
        <v>20.625</v>
      </c>
      <c r="I23" s="36">
        <f t="shared" si="5"/>
        <v>0</v>
      </c>
      <c r="J23" s="37">
        <f t="shared" si="1"/>
        <v>-30</v>
      </c>
      <c r="K23" s="38">
        <f>-J23-D23*E23/4</f>
        <v>15</v>
      </c>
      <c r="L23" s="48">
        <f t="shared" si="7"/>
        <v>15</v>
      </c>
      <c r="R23" s="33" t="s">
        <v>10</v>
      </c>
      <c r="S23" s="33">
        <f>10*$B$9</f>
        <v>45</v>
      </c>
      <c r="T23" s="33">
        <f>6.5*$B$9</f>
        <v>29.25</v>
      </c>
      <c r="U23" s="33">
        <v>1</v>
      </c>
    </row>
    <row r="24" spans="1:21" s="39" customFormat="1" ht="13.5" thickBot="1">
      <c r="A24" s="33" t="s">
        <v>7</v>
      </c>
      <c r="B24" s="33">
        <v>10</v>
      </c>
      <c r="C24" s="33">
        <v>10</v>
      </c>
      <c r="D24" s="75">
        <v>4</v>
      </c>
      <c r="E24" s="34">
        <f>C24</f>
        <v>10</v>
      </c>
      <c r="F24" s="34">
        <f t="shared" si="0"/>
        <v>-30</v>
      </c>
      <c r="G24" s="35">
        <f>B24+$E$8*$B$9</f>
        <v>15.625</v>
      </c>
      <c r="H24" s="33">
        <f t="shared" si="4"/>
        <v>15.625</v>
      </c>
      <c r="I24" s="36">
        <f t="shared" si="5"/>
        <v>0</v>
      </c>
      <c r="J24" s="37">
        <f t="shared" si="1"/>
        <v>-30</v>
      </c>
      <c r="K24" s="38">
        <f t="shared" si="6"/>
        <v>20</v>
      </c>
      <c r="L24" s="48">
        <f t="shared" si="7"/>
        <v>20</v>
      </c>
      <c r="R24" s="33" t="s">
        <v>10</v>
      </c>
      <c r="S24" s="33">
        <f>10*$B$9</f>
        <v>45</v>
      </c>
      <c r="T24" s="33">
        <f>6.5*$B$9</f>
        <v>29.25</v>
      </c>
      <c r="U24" s="33">
        <v>1</v>
      </c>
    </row>
    <row r="25" spans="1:21" s="39" customFormat="1" ht="12.75">
      <c r="A25" s="40" t="s">
        <v>8</v>
      </c>
      <c r="B25" s="40">
        <v>18</v>
      </c>
      <c r="C25" s="41">
        <v>18</v>
      </c>
      <c r="D25" s="75">
        <v>4</v>
      </c>
      <c r="E25" s="34">
        <f>C25</f>
        <v>18</v>
      </c>
      <c r="F25" s="34">
        <f t="shared" si="0"/>
        <v>-30</v>
      </c>
      <c r="G25" s="35">
        <f>B25+$E$8*$B$9</f>
        <v>23.625</v>
      </c>
      <c r="H25" s="33">
        <f t="shared" si="4"/>
        <v>23.625</v>
      </c>
      <c r="I25" s="36">
        <f t="shared" si="5"/>
        <v>0</v>
      </c>
      <c r="J25" s="42">
        <f t="shared" si="1"/>
        <v>-30</v>
      </c>
      <c r="K25" s="38">
        <f t="shared" si="6"/>
        <v>12</v>
      </c>
      <c r="L25" s="48">
        <f t="shared" si="7"/>
        <v>12</v>
      </c>
      <c r="R25" s="33" t="s">
        <v>9</v>
      </c>
      <c r="S25" s="33">
        <f>9*$B$9</f>
        <v>40.5</v>
      </c>
      <c r="T25" s="33">
        <f>5*$B$9</f>
        <v>22.5</v>
      </c>
      <c r="U25" s="33">
        <v>1</v>
      </c>
    </row>
    <row r="26" spans="1:21" s="39" customFormat="1" ht="12.75">
      <c r="A26" s="40" t="s">
        <v>16</v>
      </c>
      <c r="B26" s="40">
        <v>0</v>
      </c>
      <c r="C26" s="40">
        <v>0</v>
      </c>
      <c r="D26" s="75">
        <v>4</v>
      </c>
      <c r="E26" s="34">
        <f>C26</f>
        <v>0</v>
      </c>
      <c r="F26" s="43">
        <f t="shared" si="0"/>
        <v>-30</v>
      </c>
      <c r="G26" s="44">
        <f>B26+$E$8*$B$9</f>
        <v>5.625</v>
      </c>
      <c r="H26" s="33">
        <f t="shared" si="4"/>
        <v>5.625</v>
      </c>
      <c r="I26" s="45">
        <f t="shared" si="5"/>
        <v>0</v>
      </c>
      <c r="J26" s="46">
        <f t="shared" si="1"/>
        <v>-30</v>
      </c>
      <c r="K26" s="47">
        <f t="shared" si="6"/>
        <v>30</v>
      </c>
      <c r="L26" s="48">
        <f t="shared" si="7"/>
        <v>30</v>
      </c>
      <c r="R26" s="40" t="s">
        <v>10</v>
      </c>
      <c r="S26" s="40">
        <f>10*$B$9</f>
        <v>45</v>
      </c>
      <c r="T26" s="40">
        <f>6.5*$B$9</f>
        <v>29.25</v>
      </c>
      <c r="U26" s="40">
        <v>1</v>
      </c>
    </row>
    <row r="27" spans="1:21" s="30" customFormat="1" ht="20.25" customHeight="1">
      <c r="A27" s="26"/>
      <c r="B27" s="26"/>
      <c r="C27" s="26"/>
      <c r="D27" s="26"/>
      <c r="E27" s="27"/>
      <c r="F27" s="27"/>
      <c r="G27" s="28"/>
      <c r="H27" s="26"/>
      <c r="I27" s="29"/>
      <c r="J27" s="29"/>
      <c r="K27" s="29"/>
      <c r="R27" s="31"/>
      <c r="S27" s="31"/>
      <c r="T27" s="31"/>
      <c r="U27" s="31"/>
    </row>
    <row r="28" spans="1:21" ht="12.75">
      <c r="A28" s="68" t="s">
        <v>2</v>
      </c>
      <c r="B28" s="69" t="s">
        <v>33</v>
      </c>
      <c r="C28" s="24"/>
      <c r="D28" s="50" t="s">
        <v>1</v>
      </c>
      <c r="E28" s="50" t="s">
        <v>26</v>
      </c>
      <c r="F28" s="50" t="s">
        <v>20</v>
      </c>
      <c r="G28" s="71" t="s">
        <v>38</v>
      </c>
      <c r="H28" s="72"/>
      <c r="I28" s="72"/>
      <c r="J28" s="72"/>
      <c r="K28" s="73"/>
      <c r="R28" s="74" t="s">
        <v>3</v>
      </c>
      <c r="S28" s="74"/>
      <c r="T28" s="74"/>
      <c r="U28" s="74"/>
    </row>
    <row r="29" spans="1:21" ht="26.25" customHeight="1">
      <c r="A29" s="68"/>
      <c r="B29" s="70"/>
      <c r="C29" s="23" t="s">
        <v>0</v>
      </c>
      <c r="D29" s="50"/>
      <c r="E29" s="50"/>
      <c r="F29" s="50"/>
      <c r="G29" s="9" t="s">
        <v>22</v>
      </c>
      <c r="H29" s="1" t="s">
        <v>23</v>
      </c>
      <c r="I29" s="1" t="s">
        <v>25</v>
      </c>
      <c r="J29" s="7" t="s">
        <v>27</v>
      </c>
      <c r="K29" s="19" t="s">
        <v>21</v>
      </c>
      <c r="R29" s="4" t="s">
        <v>2</v>
      </c>
      <c r="S29" s="4" t="s">
        <v>4</v>
      </c>
      <c r="T29" s="4" t="s">
        <v>5</v>
      </c>
      <c r="U29" s="3" t="s">
        <v>19</v>
      </c>
    </row>
    <row r="30" spans="1:21" ht="12.75">
      <c r="A30" s="5" t="s">
        <v>9</v>
      </c>
      <c r="B30" s="5">
        <v>9</v>
      </c>
      <c r="C30" s="8">
        <v>9</v>
      </c>
      <c r="D30" s="8">
        <v>4</v>
      </c>
      <c r="E30" s="13">
        <f>(C30*$B$9)+$E$9</f>
        <v>40.5</v>
      </c>
      <c r="F30" s="13">
        <f aca="true" t="shared" si="8" ref="F30:F42">-D30/4*$B$8</f>
        <v>-30</v>
      </c>
      <c r="G30" s="10">
        <f>B30*$B$9*($E$7+1)</f>
        <v>46.574999999999996</v>
      </c>
      <c r="H30" s="5">
        <f>G30</f>
        <v>46.574999999999996</v>
      </c>
      <c r="I30" s="15">
        <f>-D30/4*MAX(0,H30-$B$8)</f>
        <v>-16.574999999999996</v>
      </c>
      <c r="J30" s="17">
        <f aca="true" t="shared" si="9" ref="J30:J42">F30+I30</f>
        <v>-46.574999999999996</v>
      </c>
      <c r="K30" s="16">
        <f>-J30-D30*E30/4</f>
        <v>6.074999999999996</v>
      </c>
      <c r="R30" s="4" t="s">
        <v>6</v>
      </c>
      <c r="S30" s="4">
        <v>15</v>
      </c>
      <c r="T30" s="4">
        <v>0</v>
      </c>
      <c r="U30" s="4">
        <v>0</v>
      </c>
    </row>
    <row r="31" spans="1:21" ht="12.75">
      <c r="A31" s="5" t="s">
        <v>30</v>
      </c>
      <c r="B31" s="5">
        <v>10</v>
      </c>
      <c r="C31" s="8">
        <v>10</v>
      </c>
      <c r="D31" s="8">
        <v>4</v>
      </c>
      <c r="E31" s="13">
        <f aca="true" t="shared" si="10" ref="E31:E38">(C31*$B$9)+$E$9</f>
        <v>45</v>
      </c>
      <c r="F31" s="13">
        <f t="shared" si="8"/>
        <v>-30</v>
      </c>
      <c r="G31" s="10">
        <f aca="true" t="shared" si="11" ref="G31:G38">B31*$B$9*($E$7+1)</f>
        <v>51.74999999999999</v>
      </c>
      <c r="H31" s="5">
        <f aca="true" t="shared" si="12" ref="H31:H42">G31</f>
        <v>51.74999999999999</v>
      </c>
      <c r="I31" s="15">
        <f aca="true" t="shared" si="13" ref="I31:I42">-D31/4*MAX(0,H31-$B$8)</f>
        <v>-21.749999999999993</v>
      </c>
      <c r="J31" s="17">
        <f t="shared" si="9"/>
        <v>-51.74999999999999</v>
      </c>
      <c r="K31" s="16">
        <f aca="true" t="shared" si="14" ref="K31:K42">-J31-D31*E31/4</f>
        <v>6.749999999999993</v>
      </c>
      <c r="R31" s="4" t="s">
        <v>7</v>
      </c>
      <c r="S31" s="4">
        <v>10</v>
      </c>
      <c r="T31" s="4">
        <v>0</v>
      </c>
      <c r="U31" s="4">
        <v>0</v>
      </c>
    </row>
    <row r="32" spans="1:21" ht="12.75">
      <c r="A32" s="5" t="s">
        <v>31</v>
      </c>
      <c r="B32" s="5">
        <v>10.5</v>
      </c>
      <c r="C32" s="8">
        <v>10.5</v>
      </c>
      <c r="D32" s="8">
        <v>4</v>
      </c>
      <c r="E32" s="13">
        <f t="shared" si="10"/>
        <v>47.25</v>
      </c>
      <c r="F32" s="13">
        <f t="shared" si="8"/>
        <v>-30</v>
      </c>
      <c r="G32" s="10">
        <f t="shared" si="11"/>
        <v>54.3375</v>
      </c>
      <c r="H32" s="5">
        <f t="shared" si="12"/>
        <v>54.3375</v>
      </c>
      <c r="I32" s="15">
        <f t="shared" si="13"/>
        <v>-24.3375</v>
      </c>
      <c r="J32" s="17">
        <f t="shared" si="9"/>
        <v>-54.3375</v>
      </c>
      <c r="K32" s="16">
        <f t="shared" si="14"/>
        <v>7.087499999999999</v>
      </c>
      <c r="R32" s="4" t="s">
        <v>8</v>
      </c>
      <c r="S32" s="4">
        <v>18</v>
      </c>
      <c r="T32" s="4">
        <v>3</v>
      </c>
      <c r="U32" s="4">
        <v>0</v>
      </c>
    </row>
    <row r="33" spans="1:21" ht="12.75">
      <c r="A33" s="11" t="s">
        <v>32</v>
      </c>
      <c r="B33" s="11">
        <v>11.5</v>
      </c>
      <c r="C33" s="12">
        <v>11.5</v>
      </c>
      <c r="D33" s="12">
        <v>4</v>
      </c>
      <c r="E33" s="13">
        <f t="shared" si="10"/>
        <v>51.75</v>
      </c>
      <c r="F33" s="13">
        <f t="shared" si="8"/>
        <v>-30</v>
      </c>
      <c r="G33" s="10">
        <f t="shared" si="11"/>
        <v>59.512499999999996</v>
      </c>
      <c r="H33" s="5">
        <f t="shared" si="12"/>
        <v>59.512499999999996</v>
      </c>
      <c r="I33" s="15">
        <f t="shared" si="13"/>
        <v>-29.512499999999996</v>
      </c>
      <c r="J33" s="17">
        <f t="shared" si="9"/>
        <v>-59.512499999999996</v>
      </c>
      <c r="K33" s="16">
        <f t="shared" si="14"/>
        <v>7.762499999999996</v>
      </c>
      <c r="R33" s="4" t="s">
        <v>9</v>
      </c>
      <c r="S33" s="4">
        <f>9*$B$9</f>
        <v>40.5</v>
      </c>
      <c r="T33" s="4">
        <f>5*$B$9</f>
        <v>22.5</v>
      </c>
      <c r="U33" s="4">
        <v>1</v>
      </c>
    </row>
    <row r="34" spans="1:21" ht="13.5" thickBot="1">
      <c r="A34" s="5" t="s">
        <v>12</v>
      </c>
      <c r="B34" s="5">
        <v>14.5</v>
      </c>
      <c r="C34" s="5">
        <v>14.5</v>
      </c>
      <c r="D34" s="5">
        <v>4</v>
      </c>
      <c r="E34" s="13">
        <f t="shared" si="10"/>
        <v>65.25</v>
      </c>
      <c r="F34" s="13">
        <f t="shared" si="8"/>
        <v>-30</v>
      </c>
      <c r="G34" s="10">
        <f t="shared" si="11"/>
        <v>75.0375</v>
      </c>
      <c r="H34" s="5">
        <f t="shared" si="12"/>
        <v>75.0375</v>
      </c>
      <c r="I34" s="15">
        <f t="shared" si="13"/>
        <v>-45.037499999999994</v>
      </c>
      <c r="J34" s="18">
        <f t="shared" si="9"/>
        <v>-75.0375</v>
      </c>
      <c r="K34" s="16">
        <f t="shared" si="14"/>
        <v>9.787499999999994</v>
      </c>
      <c r="R34" s="4" t="s">
        <v>10</v>
      </c>
      <c r="S34" s="4">
        <f>10*$B$9</f>
        <v>45</v>
      </c>
      <c r="T34" s="4">
        <f>6.5*$B$9</f>
        <v>29.25</v>
      </c>
      <c r="U34" s="4">
        <v>1</v>
      </c>
    </row>
    <row r="35" spans="1:21" ht="12.75">
      <c r="A35" s="5" t="s">
        <v>13</v>
      </c>
      <c r="B35" s="5">
        <v>14</v>
      </c>
      <c r="C35" s="8">
        <v>14</v>
      </c>
      <c r="D35" s="8">
        <v>4</v>
      </c>
      <c r="E35" s="13">
        <f t="shared" si="10"/>
        <v>63</v>
      </c>
      <c r="F35" s="13">
        <f t="shared" si="8"/>
        <v>-30</v>
      </c>
      <c r="G35" s="10">
        <f t="shared" si="11"/>
        <v>72.44999999999999</v>
      </c>
      <c r="H35" s="5">
        <f t="shared" si="12"/>
        <v>72.44999999999999</v>
      </c>
      <c r="I35" s="15">
        <f t="shared" si="13"/>
        <v>-42.44999999999999</v>
      </c>
      <c r="J35" s="17">
        <f t="shared" si="9"/>
        <v>-72.44999999999999</v>
      </c>
      <c r="K35" s="16">
        <f t="shared" si="14"/>
        <v>9.449999999999989</v>
      </c>
      <c r="R35" s="4" t="s">
        <v>6</v>
      </c>
      <c r="S35" s="4">
        <v>15</v>
      </c>
      <c r="T35" s="4">
        <v>0</v>
      </c>
      <c r="U35" s="4">
        <v>0</v>
      </c>
    </row>
    <row r="36" spans="1:21" ht="12.75">
      <c r="A36" s="5" t="s">
        <v>14</v>
      </c>
      <c r="B36" s="5">
        <v>15</v>
      </c>
      <c r="C36" s="8">
        <v>15</v>
      </c>
      <c r="D36" s="8">
        <v>4</v>
      </c>
      <c r="E36" s="13">
        <f t="shared" si="10"/>
        <v>67.5</v>
      </c>
      <c r="F36" s="13">
        <f t="shared" si="8"/>
        <v>-30</v>
      </c>
      <c r="G36" s="10">
        <f t="shared" si="11"/>
        <v>77.625</v>
      </c>
      <c r="H36" s="5">
        <f t="shared" si="12"/>
        <v>77.625</v>
      </c>
      <c r="I36" s="15">
        <f t="shared" si="13"/>
        <v>-47.625</v>
      </c>
      <c r="J36" s="17">
        <f t="shared" si="9"/>
        <v>-77.625</v>
      </c>
      <c r="K36" s="16">
        <f t="shared" si="14"/>
        <v>10.125</v>
      </c>
      <c r="R36" s="4" t="s">
        <v>7</v>
      </c>
      <c r="S36" s="4">
        <v>10</v>
      </c>
      <c r="T36" s="4">
        <v>0</v>
      </c>
      <c r="U36" s="4">
        <v>0</v>
      </c>
    </row>
    <row r="37" spans="1:21" ht="12.75">
      <c r="A37" s="5" t="s">
        <v>17</v>
      </c>
      <c r="B37" s="5">
        <v>18</v>
      </c>
      <c r="C37" s="8">
        <v>18</v>
      </c>
      <c r="D37" s="8">
        <v>4</v>
      </c>
      <c r="E37" s="13">
        <f t="shared" si="10"/>
        <v>81</v>
      </c>
      <c r="F37" s="13">
        <f t="shared" si="8"/>
        <v>-30</v>
      </c>
      <c r="G37" s="10">
        <f t="shared" si="11"/>
        <v>93.14999999999999</v>
      </c>
      <c r="H37" s="5">
        <f t="shared" si="12"/>
        <v>93.14999999999999</v>
      </c>
      <c r="I37" s="15">
        <f t="shared" si="13"/>
        <v>-63.14999999999999</v>
      </c>
      <c r="J37" s="17">
        <f t="shared" si="9"/>
        <v>-93.14999999999999</v>
      </c>
      <c r="K37" s="16">
        <f t="shared" si="14"/>
        <v>12.149999999999991</v>
      </c>
      <c r="R37" s="4" t="s">
        <v>8</v>
      </c>
      <c r="S37" s="4">
        <v>18</v>
      </c>
      <c r="T37" s="4">
        <v>3</v>
      </c>
      <c r="U37" s="4">
        <v>0</v>
      </c>
    </row>
    <row r="38" spans="1:21" ht="12.75">
      <c r="A38" s="11" t="s">
        <v>15</v>
      </c>
      <c r="B38" s="11">
        <v>16</v>
      </c>
      <c r="C38" s="12">
        <v>16</v>
      </c>
      <c r="D38" s="12">
        <v>4</v>
      </c>
      <c r="E38" s="13">
        <f t="shared" si="10"/>
        <v>72</v>
      </c>
      <c r="F38" s="13">
        <f t="shared" si="8"/>
        <v>-30</v>
      </c>
      <c r="G38" s="10">
        <f t="shared" si="11"/>
        <v>82.8</v>
      </c>
      <c r="H38" s="5">
        <f t="shared" si="12"/>
        <v>82.8</v>
      </c>
      <c r="I38" s="15">
        <f t="shared" si="13"/>
        <v>-52.8</v>
      </c>
      <c r="J38" s="17">
        <f t="shared" si="9"/>
        <v>-82.8</v>
      </c>
      <c r="K38" s="16">
        <f t="shared" si="14"/>
        <v>10.799999999999997</v>
      </c>
      <c r="R38" s="4" t="s">
        <v>9</v>
      </c>
      <c r="S38" s="4">
        <f>9*$B$9</f>
        <v>40.5</v>
      </c>
      <c r="T38" s="4">
        <f>5*$B$9</f>
        <v>22.5</v>
      </c>
      <c r="U38" s="4">
        <v>1</v>
      </c>
    </row>
    <row r="39" spans="1:21" s="39" customFormat="1" ht="13.5" thickBot="1">
      <c r="A39" s="33" t="s">
        <v>6</v>
      </c>
      <c r="B39" s="33">
        <v>15</v>
      </c>
      <c r="C39" s="33">
        <v>15</v>
      </c>
      <c r="D39" s="33">
        <v>4</v>
      </c>
      <c r="E39" s="34">
        <f>C39</f>
        <v>15</v>
      </c>
      <c r="F39" s="34">
        <f t="shared" si="8"/>
        <v>-30</v>
      </c>
      <c r="G39" s="35">
        <f>B39*(1+$E$7)</f>
        <v>17.25</v>
      </c>
      <c r="H39" s="33">
        <f t="shared" si="12"/>
        <v>17.25</v>
      </c>
      <c r="I39" s="36">
        <f t="shared" si="13"/>
        <v>0</v>
      </c>
      <c r="J39" s="37">
        <f t="shared" si="9"/>
        <v>-30</v>
      </c>
      <c r="K39" s="38">
        <f t="shared" si="14"/>
        <v>15</v>
      </c>
      <c r="R39" s="33" t="s">
        <v>10</v>
      </c>
      <c r="S39" s="33">
        <f>10*$B$9</f>
        <v>45</v>
      </c>
      <c r="T39" s="33">
        <f>6.5*$B$9</f>
        <v>29.25</v>
      </c>
      <c r="U39" s="33">
        <v>1</v>
      </c>
    </row>
    <row r="40" spans="1:21" s="39" customFormat="1" ht="13.5" thickBot="1">
      <c r="A40" s="33" t="s">
        <v>7</v>
      </c>
      <c r="B40" s="33">
        <v>10</v>
      </c>
      <c r="C40" s="33">
        <v>10</v>
      </c>
      <c r="D40" s="33">
        <v>4</v>
      </c>
      <c r="E40" s="34">
        <f>C40</f>
        <v>10</v>
      </c>
      <c r="F40" s="34">
        <f t="shared" si="8"/>
        <v>-30</v>
      </c>
      <c r="G40" s="35">
        <f>B40*(1+$E$7)</f>
        <v>11.5</v>
      </c>
      <c r="H40" s="33">
        <f t="shared" si="12"/>
        <v>11.5</v>
      </c>
      <c r="I40" s="36">
        <f t="shared" si="13"/>
        <v>0</v>
      </c>
      <c r="J40" s="37">
        <f t="shared" si="9"/>
        <v>-30</v>
      </c>
      <c r="K40" s="38">
        <f t="shared" si="14"/>
        <v>20</v>
      </c>
      <c r="R40" s="33" t="s">
        <v>10</v>
      </c>
      <c r="S40" s="33">
        <f>10*$B$9</f>
        <v>45</v>
      </c>
      <c r="T40" s="33">
        <f>6.5*$B$9</f>
        <v>29.25</v>
      </c>
      <c r="U40" s="33">
        <v>1</v>
      </c>
    </row>
    <row r="41" spans="1:21" s="39" customFormat="1" ht="12.75">
      <c r="A41" s="40" t="s">
        <v>8</v>
      </c>
      <c r="B41" s="40">
        <v>18</v>
      </c>
      <c r="C41" s="41">
        <v>18</v>
      </c>
      <c r="D41" s="41">
        <v>4</v>
      </c>
      <c r="E41" s="34">
        <f>C41</f>
        <v>18</v>
      </c>
      <c r="F41" s="34">
        <f t="shared" si="8"/>
        <v>-30</v>
      </c>
      <c r="G41" s="35">
        <f>B41*(1+$E$7)</f>
        <v>20.7</v>
      </c>
      <c r="H41" s="33">
        <f t="shared" si="12"/>
        <v>20.7</v>
      </c>
      <c r="I41" s="36">
        <f t="shared" si="13"/>
        <v>0</v>
      </c>
      <c r="J41" s="42">
        <f t="shared" si="9"/>
        <v>-30</v>
      </c>
      <c r="K41" s="38">
        <f t="shared" si="14"/>
        <v>12</v>
      </c>
      <c r="R41" s="33" t="s">
        <v>9</v>
      </c>
      <c r="S41" s="33">
        <f>9*$B$9</f>
        <v>40.5</v>
      </c>
      <c r="T41" s="33">
        <f>5*$B$9</f>
        <v>22.5</v>
      </c>
      <c r="U41" s="33">
        <v>1</v>
      </c>
    </row>
    <row r="42" spans="1:21" s="39" customFormat="1" ht="13.5" thickBot="1">
      <c r="A42" s="33" t="s">
        <v>16</v>
      </c>
      <c r="B42" s="33">
        <v>0</v>
      </c>
      <c r="C42" s="33">
        <v>0</v>
      </c>
      <c r="D42" s="33">
        <v>4</v>
      </c>
      <c r="E42" s="34">
        <f>C42</f>
        <v>0</v>
      </c>
      <c r="F42" s="34">
        <f t="shared" si="8"/>
        <v>-30</v>
      </c>
      <c r="G42" s="35">
        <f>B42*(1+$E$7)</f>
        <v>0</v>
      </c>
      <c r="H42" s="33">
        <f t="shared" si="12"/>
        <v>0</v>
      </c>
      <c r="I42" s="36">
        <f t="shared" si="13"/>
        <v>0</v>
      </c>
      <c r="J42" s="37">
        <f t="shared" si="9"/>
        <v>-30</v>
      </c>
      <c r="K42" s="38">
        <f t="shared" si="14"/>
        <v>30</v>
      </c>
      <c r="R42" s="33" t="s">
        <v>10</v>
      </c>
      <c r="S42" s="33">
        <f>10*$B$9</f>
        <v>45</v>
      </c>
      <c r="T42" s="33">
        <f>6.5*$B$9</f>
        <v>29.25</v>
      </c>
      <c r="U42" s="33">
        <v>1</v>
      </c>
    </row>
    <row r="43" spans="3:22" ht="12.75">
      <c r="C43" s="20"/>
      <c r="D43" s="21"/>
      <c r="F43" s="22"/>
      <c r="S43" s="4" t="s">
        <v>16</v>
      </c>
      <c r="T43" s="4">
        <v>0</v>
      </c>
      <c r="U43" s="4">
        <v>0</v>
      </c>
      <c r="V43" s="4">
        <v>0</v>
      </c>
    </row>
    <row r="44" spans="1:6" ht="6" customHeight="1" thickBot="1">
      <c r="A44" t="s">
        <v>39</v>
      </c>
      <c r="C44" s="20"/>
      <c r="D44" s="21"/>
      <c r="F44" s="22"/>
    </row>
    <row r="45" spans="1:21" ht="12.75">
      <c r="A45" s="68" t="s">
        <v>2</v>
      </c>
      <c r="B45" s="69" t="s">
        <v>33</v>
      </c>
      <c r="C45" s="23"/>
      <c r="D45" s="50" t="s">
        <v>1</v>
      </c>
      <c r="E45" s="50" t="s">
        <v>26</v>
      </c>
      <c r="F45" s="50" t="s">
        <v>20</v>
      </c>
      <c r="G45" s="51" t="s">
        <v>34</v>
      </c>
      <c r="H45" s="52"/>
      <c r="I45" s="52"/>
      <c r="J45" s="52"/>
      <c r="K45" s="53"/>
      <c r="R45" s="49" t="s">
        <v>3</v>
      </c>
      <c r="S45" s="49"/>
      <c r="T45" s="49"/>
      <c r="U45" s="49"/>
    </row>
    <row r="46" spans="1:21" ht="26.25" customHeight="1">
      <c r="A46" s="68"/>
      <c r="B46" s="70"/>
      <c r="C46" s="23" t="s">
        <v>0</v>
      </c>
      <c r="D46" s="50"/>
      <c r="E46" s="50"/>
      <c r="F46" s="50"/>
      <c r="G46" s="9" t="s">
        <v>22</v>
      </c>
      <c r="H46" s="1" t="s">
        <v>23</v>
      </c>
      <c r="I46" s="1" t="s">
        <v>25</v>
      </c>
      <c r="J46" s="7" t="s">
        <v>27</v>
      </c>
      <c r="K46" s="19" t="s">
        <v>21</v>
      </c>
      <c r="L46" s="76" t="s">
        <v>38</v>
      </c>
      <c r="R46" s="4" t="s">
        <v>2</v>
      </c>
      <c r="S46" s="4" t="s">
        <v>4</v>
      </c>
      <c r="T46" s="4" t="s">
        <v>5</v>
      </c>
      <c r="U46" s="3" t="s">
        <v>19</v>
      </c>
    </row>
    <row r="47" spans="1:21" ht="12.75">
      <c r="A47" s="5" t="s">
        <v>9</v>
      </c>
      <c r="B47" s="5">
        <v>5</v>
      </c>
      <c r="C47" s="8">
        <v>5</v>
      </c>
      <c r="D47" s="8">
        <v>-4</v>
      </c>
      <c r="E47" s="13">
        <f>(C47*$B$9)+$E$9</f>
        <v>22.5</v>
      </c>
      <c r="F47" s="13">
        <f aca="true" t="shared" si="15" ref="F47:F55">-D47/4*$B$8</f>
        <v>30</v>
      </c>
      <c r="G47" s="10">
        <f>(B47-$E$8)*$B$9</f>
        <v>16.875</v>
      </c>
      <c r="H47" s="5">
        <f>G47</f>
        <v>16.875</v>
      </c>
      <c r="I47" s="15">
        <f>D47/4*(-H47+$B$8)</f>
        <v>-13.125</v>
      </c>
      <c r="J47" s="17">
        <f aca="true" t="shared" si="16" ref="J47:J55">F47+I47</f>
        <v>16.875</v>
      </c>
      <c r="K47" s="16">
        <f>-J47-D47*E47/4</f>
        <v>5.625</v>
      </c>
      <c r="L47" s="48">
        <f aca="true" t="shared" si="17" ref="L47:L55">K59</f>
        <v>3.375</v>
      </c>
      <c r="R47" s="4" t="s">
        <v>6</v>
      </c>
      <c r="S47" s="4">
        <v>15</v>
      </c>
      <c r="T47" s="4">
        <v>0</v>
      </c>
      <c r="U47" s="4">
        <v>0</v>
      </c>
    </row>
    <row r="48" spans="1:21" ht="12.75">
      <c r="A48" s="5" t="s">
        <v>30</v>
      </c>
      <c r="B48" s="5">
        <v>6.5</v>
      </c>
      <c r="C48" s="8">
        <v>6.5</v>
      </c>
      <c r="D48" s="8">
        <v>-4</v>
      </c>
      <c r="E48" s="13">
        <f aca="true" t="shared" si="18" ref="E48:E55">(C48*$B$9)+$E$9</f>
        <v>29.25</v>
      </c>
      <c r="F48" s="13">
        <f t="shared" si="15"/>
        <v>30</v>
      </c>
      <c r="G48" s="10">
        <f aca="true" t="shared" si="19" ref="G48:G55">(B48-$E$8)*$B$9</f>
        <v>23.625</v>
      </c>
      <c r="H48" s="5">
        <f aca="true" t="shared" si="20" ref="H48:H55">G48</f>
        <v>23.625</v>
      </c>
      <c r="I48" s="15">
        <f aca="true" t="shared" si="21" ref="I48:I55">D48/4*(-H48+$B$8)</f>
        <v>-6.375</v>
      </c>
      <c r="J48" s="17">
        <f t="shared" si="16"/>
        <v>23.625</v>
      </c>
      <c r="K48" s="16">
        <f aca="true" t="shared" si="22" ref="K48:K55">-J48-D48*E48/4</f>
        <v>5.625</v>
      </c>
      <c r="L48" s="48">
        <f t="shared" si="17"/>
        <v>4.387499999999999</v>
      </c>
      <c r="R48" s="4" t="s">
        <v>7</v>
      </c>
      <c r="S48" s="4">
        <v>10</v>
      </c>
      <c r="T48" s="4">
        <v>0</v>
      </c>
      <c r="U48" s="4">
        <v>0</v>
      </c>
    </row>
    <row r="49" spans="1:21" ht="12.75">
      <c r="A49" s="5" t="s">
        <v>31</v>
      </c>
      <c r="B49" s="5">
        <v>7.5</v>
      </c>
      <c r="C49" s="8">
        <v>7.5</v>
      </c>
      <c r="D49" s="8">
        <v>-4</v>
      </c>
      <c r="E49" s="13">
        <f t="shared" si="18"/>
        <v>33.75</v>
      </c>
      <c r="F49" s="13">
        <f t="shared" si="15"/>
        <v>30</v>
      </c>
      <c r="G49" s="10">
        <f t="shared" si="19"/>
        <v>28.125</v>
      </c>
      <c r="H49" s="5">
        <f t="shared" si="20"/>
        <v>28.125</v>
      </c>
      <c r="I49" s="15">
        <f t="shared" si="21"/>
        <v>-1.875</v>
      </c>
      <c r="J49" s="17">
        <f t="shared" si="16"/>
        <v>28.125</v>
      </c>
      <c r="K49" s="16">
        <f t="shared" si="22"/>
        <v>5.625</v>
      </c>
      <c r="L49" s="48">
        <f t="shared" si="17"/>
        <v>5.0625</v>
      </c>
      <c r="R49" s="4" t="s">
        <v>8</v>
      </c>
      <c r="S49" s="4">
        <v>18</v>
      </c>
      <c r="T49" s="4">
        <v>3</v>
      </c>
      <c r="U49" s="4">
        <v>0</v>
      </c>
    </row>
    <row r="50" spans="1:21" ht="12.75">
      <c r="A50" s="11" t="s">
        <v>32</v>
      </c>
      <c r="B50" s="11">
        <v>9.5</v>
      </c>
      <c r="C50" s="12">
        <v>9.5</v>
      </c>
      <c r="D50" s="8">
        <v>-4</v>
      </c>
      <c r="E50" s="13">
        <f t="shared" si="18"/>
        <v>42.75</v>
      </c>
      <c r="F50" s="13">
        <f t="shared" si="15"/>
        <v>30</v>
      </c>
      <c r="G50" s="10">
        <f t="shared" si="19"/>
        <v>37.125</v>
      </c>
      <c r="H50" s="5">
        <f t="shared" si="20"/>
        <v>37.125</v>
      </c>
      <c r="I50" s="15">
        <f t="shared" si="21"/>
        <v>7.125</v>
      </c>
      <c r="J50" s="17">
        <f t="shared" si="16"/>
        <v>37.125</v>
      </c>
      <c r="K50" s="16">
        <f t="shared" si="22"/>
        <v>5.625</v>
      </c>
      <c r="L50" s="48">
        <f t="shared" si="17"/>
        <v>6.412500000000001</v>
      </c>
      <c r="R50" s="4" t="s">
        <v>9</v>
      </c>
      <c r="S50" s="4">
        <f>9*$B$9</f>
        <v>40.5</v>
      </c>
      <c r="T50" s="4">
        <f>5*$B$9</f>
        <v>22.5</v>
      </c>
      <c r="U50" s="4">
        <v>1</v>
      </c>
    </row>
    <row r="51" spans="1:21" ht="13.5" thickBot="1">
      <c r="A51" s="5" t="s">
        <v>12</v>
      </c>
      <c r="B51" s="5">
        <v>10.5</v>
      </c>
      <c r="C51" s="5">
        <v>10.5</v>
      </c>
      <c r="D51" s="8">
        <v>-4</v>
      </c>
      <c r="E51" s="13">
        <f t="shared" si="18"/>
        <v>47.25</v>
      </c>
      <c r="F51" s="13">
        <f t="shared" si="15"/>
        <v>30</v>
      </c>
      <c r="G51" s="10">
        <f t="shared" si="19"/>
        <v>41.625</v>
      </c>
      <c r="H51" s="5">
        <f t="shared" si="20"/>
        <v>41.625</v>
      </c>
      <c r="I51" s="15">
        <f t="shared" si="21"/>
        <v>11.625</v>
      </c>
      <c r="J51" s="18">
        <f t="shared" si="16"/>
        <v>41.625</v>
      </c>
      <c r="K51" s="16">
        <f t="shared" si="22"/>
        <v>5.625</v>
      </c>
      <c r="L51" s="48">
        <f t="shared" si="17"/>
        <v>7.087499999999999</v>
      </c>
      <c r="R51" s="4" t="s">
        <v>10</v>
      </c>
      <c r="S51" s="4">
        <f>10*$B$9</f>
        <v>45</v>
      </c>
      <c r="T51" s="4">
        <f>6.5*$B$9</f>
        <v>29.25</v>
      </c>
      <c r="U51" s="4">
        <v>1</v>
      </c>
    </row>
    <row r="52" spans="1:21" ht="12.75">
      <c r="A52" s="5" t="s">
        <v>13</v>
      </c>
      <c r="B52" s="5">
        <v>10.5</v>
      </c>
      <c r="C52" s="8">
        <v>10.5</v>
      </c>
      <c r="D52" s="8">
        <v>-4</v>
      </c>
      <c r="E52" s="13">
        <f t="shared" si="18"/>
        <v>47.25</v>
      </c>
      <c r="F52" s="13">
        <f t="shared" si="15"/>
        <v>30</v>
      </c>
      <c r="G52" s="10">
        <f t="shared" si="19"/>
        <v>41.625</v>
      </c>
      <c r="H52" s="5">
        <f t="shared" si="20"/>
        <v>41.625</v>
      </c>
      <c r="I52" s="15">
        <f t="shared" si="21"/>
        <v>11.625</v>
      </c>
      <c r="J52" s="17">
        <f t="shared" si="16"/>
        <v>41.625</v>
      </c>
      <c r="K52" s="16">
        <f t="shared" si="22"/>
        <v>5.625</v>
      </c>
      <c r="L52" s="48">
        <f t="shared" si="17"/>
        <v>7.087499999999999</v>
      </c>
      <c r="R52" s="4" t="s">
        <v>6</v>
      </c>
      <c r="S52" s="4">
        <v>15</v>
      </c>
      <c r="T52" s="4">
        <v>0</v>
      </c>
      <c r="U52" s="4">
        <v>0</v>
      </c>
    </row>
    <row r="53" spans="1:21" ht="12.75">
      <c r="A53" s="5" t="s">
        <v>14</v>
      </c>
      <c r="B53" s="5">
        <v>12</v>
      </c>
      <c r="C53" s="8">
        <v>12</v>
      </c>
      <c r="D53" s="8">
        <v>-4</v>
      </c>
      <c r="E53" s="13">
        <f t="shared" si="18"/>
        <v>54</v>
      </c>
      <c r="F53" s="13">
        <f t="shared" si="15"/>
        <v>30</v>
      </c>
      <c r="G53" s="10">
        <f t="shared" si="19"/>
        <v>48.375</v>
      </c>
      <c r="H53" s="5">
        <f t="shared" si="20"/>
        <v>48.375</v>
      </c>
      <c r="I53" s="15">
        <f t="shared" si="21"/>
        <v>18.375</v>
      </c>
      <c r="J53" s="17">
        <f t="shared" si="16"/>
        <v>48.375</v>
      </c>
      <c r="K53" s="16">
        <f t="shared" si="22"/>
        <v>5.625</v>
      </c>
      <c r="L53" s="48">
        <f t="shared" si="17"/>
        <v>8.100000000000001</v>
      </c>
      <c r="R53" s="4" t="s">
        <v>7</v>
      </c>
      <c r="S53" s="4">
        <v>10</v>
      </c>
      <c r="T53" s="4">
        <v>0</v>
      </c>
      <c r="U53" s="4">
        <v>0</v>
      </c>
    </row>
    <row r="54" spans="1:21" ht="12.75">
      <c r="A54" s="5" t="s">
        <v>17</v>
      </c>
      <c r="B54" s="5"/>
      <c r="C54" s="8"/>
      <c r="D54" s="8">
        <v>-4</v>
      </c>
      <c r="E54" s="13">
        <f t="shared" si="18"/>
        <v>0</v>
      </c>
      <c r="F54" s="13">
        <f t="shared" si="15"/>
        <v>30</v>
      </c>
      <c r="G54" s="10">
        <f t="shared" si="19"/>
        <v>-5.625</v>
      </c>
      <c r="H54" s="5">
        <f t="shared" si="20"/>
        <v>-5.625</v>
      </c>
      <c r="I54" s="15">
        <f t="shared" si="21"/>
        <v>-35.625</v>
      </c>
      <c r="J54" s="17">
        <f t="shared" si="16"/>
        <v>-5.625</v>
      </c>
      <c r="K54" s="16">
        <f t="shared" si="22"/>
        <v>5.625</v>
      </c>
      <c r="L54" s="48">
        <f t="shared" si="17"/>
        <v>0</v>
      </c>
      <c r="R54" s="4" t="s">
        <v>8</v>
      </c>
      <c r="S54" s="4">
        <v>18</v>
      </c>
      <c r="T54" s="4">
        <v>3</v>
      </c>
      <c r="U54" s="4">
        <v>0</v>
      </c>
    </row>
    <row r="55" spans="1:21" ht="12.75">
      <c r="A55" s="11" t="s">
        <v>15</v>
      </c>
      <c r="B55" s="11">
        <v>12</v>
      </c>
      <c r="C55" s="12">
        <v>12</v>
      </c>
      <c r="D55" s="8">
        <v>-4</v>
      </c>
      <c r="E55" s="13">
        <f t="shared" si="18"/>
        <v>54</v>
      </c>
      <c r="F55" s="13">
        <f t="shared" si="15"/>
        <v>30</v>
      </c>
      <c r="G55" s="10">
        <f t="shared" si="19"/>
        <v>48.375</v>
      </c>
      <c r="H55" s="5">
        <f t="shared" si="20"/>
        <v>48.375</v>
      </c>
      <c r="I55" s="15">
        <f t="shared" si="21"/>
        <v>18.375</v>
      </c>
      <c r="J55" s="17">
        <f t="shared" si="16"/>
        <v>48.375</v>
      </c>
      <c r="K55" s="16">
        <f t="shared" si="22"/>
        <v>5.625</v>
      </c>
      <c r="L55" s="48">
        <f t="shared" si="17"/>
        <v>8.100000000000001</v>
      </c>
      <c r="R55" s="4" t="s">
        <v>9</v>
      </c>
      <c r="S55" s="4">
        <f>9*$B$9</f>
        <v>40.5</v>
      </c>
      <c r="T55" s="4">
        <f>5*$B$9</f>
        <v>22.5</v>
      </c>
      <c r="U55" s="4">
        <v>1</v>
      </c>
    </row>
    <row r="56" spans="1:21" s="30" customFormat="1" ht="20.25" customHeight="1" thickBot="1">
      <c r="A56" s="26"/>
      <c r="B56" s="26"/>
      <c r="C56" s="26"/>
      <c r="D56" s="26"/>
      <c r="E56" s="27"/>
      <c r="F56" s="27"/>
      <c r="G56" s="28"/>
      <c r="H56" s="26"/>
      <c r="I56" s="29"/>
      <c r="J56" s="29"/>
      <c r="K56" s="29"/>
      <c r="R56" s="31"/>
      <c r="S56" s="31"/>
      <c r="T56" s="31"/>
      <c r="U56" s="31"/>
    </row>
    <row r="57" spans="1:20" ht="12.75">
      <c r="A57" s="68" t="s">
        <v>2</v>
      </c>
      <c r="B57" s="69" t="s">
        <v>33</v>
      </c>
      <c r="C57" s="23"/>
      <c r="D57" s="50" t="s">
        <v>1</v>
      </c>
      <c r="E57" s="50" t="s">
        <v>26</v>
      </c>
      <c r="F57" s="50" t="s">
        <v>20</v>
      </c>
      <c r="G57" s="51" t="s">
        <v>38</v>
      </c>
      <c r="H57" s="52"/>
      <c r="I57" s="52"/>
      <c r="J57" s="52"/>
      <c r="K57" s="53"/>
      <c r="Q57" s="49" t="s">
        <v>3</v>
      </c>
      <c r="R57" s="49"/>
      <c r="S57" s="49"/>
      <c r="T57" s="49"/>
    </row>
    <row r="58" spans="1:20" ht="26.25" customHeight="1">
      <c r="A58" s="68"/>
      <c r="B58" s="70"/>
      <c r="C58" s="23" t="s">
        <v>0</v>
      </c>
      <c r="D58" s="50"/>
      <c r="E58" s="50"/>
      <c r="F58" s="50"/>
      <c r="G58" s="9" t="s">
        <v>22</v>
      </c>
      <c r="H58" s="1" t="s">
        <v>23</v>
      </c>
      <c r="I58" s="1" t="s">
        <v>25</v>
      </c>
      <c r="J58" s="7" t="s">
        <v>27</v>
      </c>
      <c r="K58" s="19" t="s">
        <v>21</v>
      </c>
      <c r="Q58" s="4" t="s">
        <v>2</v>
      </c>
      <c r="R58" s="4" t="s">
        <v>4</v>
      </c>
      <c r="S58" s="4" t="s">
        <v>5</v>
      </c>
      <c r="T58" s="3" t="s">
        <v>19</v>
      </c>
    </row>
    <row r="59" spans="1:20" ht="12.75">
      <c r="A59" s="5" t="s">
        <v>9</v>
      </c>
      <c r="B59" s="5">
        <v>5</v>
      </c>
      <c r="C59" s="8">
        <v>5</v>
      </c>
      <c r="D59" s="8">
        <v>-4</v>
      </c>
      <c r="E59" s="13">
        <f>(C59*$B$9)+$E$9</f>
        <v>22.5</v>
      </c>
      <c r="F59" s="13">
        <f aca="true" t="shared" si="23" ref="F59:F67">-D59/4*$B$8</f>
        <v>30</v>
      </c>
      <c r="G59" s="10">
        <f>B59*$B$9*(1-$E$7)</f>
        <v>19.125</v>
      </c>
      <c r="H59" s="5">
        <f>G59</f>
        <v>19.125</v>
      </c>
      <c r="I59" s="15">
        <f aca="true" t="shared" si="24" ref="I59:I67">D59/4*(-H59+$B$8)</f>
        <v>-10.875</v>
      </c>
      <c r="J59" s="17">
        <f aca="true" t="shared" si="25" ref="J59:J67">F59+I59</f>
        <v>19.125</v>
      </c>
      <c r="K59" s="16">
        <f>-J59-D59*E59/4</f>
        <v>3.375</v>
      </c>
      <c r="Q59" s="4" t="s">
        <v>6</v>
      </c>
      <c r="R59" s="4">
        <v>15</v>
      </c>
      <c r="S59" s="4">
        <v>0</v>
      </c>
      <c r="T59" s="4">
        <v>0</v>
      </c>
    </row>
    <row r="60" spans="1:20" ht="12.75">
      <c r="A60" s="5" t="s">
        <v>30</v>
      </c>
      <c r="B60" s="5">
        <v>6.5</v>
      </c>
      <c r="C60" s="8">
        <v>6.5</v>
      </c>
      <c r="D60" s="8">
        <v>-4</v>
      </c>
      <c r="E60" s="13">
        <f aca="true" t="shared" si="26" ref="E60:E67">(C60*$B$9)+$E$9</f>
        <v>29.25</v>
      </c>
      <c r="F60" s="13">
        <f t="shared" si="23"/>
        <v>30</v>
      </c>
      <c r="G60" s="10">
        <f aca="true" t="shared" si="27" ref="G60:G67">B60*$B$9*(1-$E$7)</f>
        <v>24.8625</v>
      </c>
      <c r="H60" s="5">
        <f aca="true" t="shared" si="28" ref="H60:H67">G60</f>
        <v>24.8625</v>
      </c>
      <c r="I60" s="15">
        <f t="shared" si="24"/>
        <v>-5.137499999999999</v>
      </c>
      <c r="J60" s="17">
        <f t="shared" si="25"/>
        <v>24.8625</v>
      </c>
      <c r="K60" s="16">
        <f aca="true" t="shared" si="29" ref="K60:K67">-J60-D60*E60/4</f>
        <v>4.387499999999999</v>
      </c>
      <c r="Q60" s="4" t="s">
        <v>7</v>
      </c>
      <c r="R60" s="4">
        <v>10</v>
      </c>
      <c r="S60" s="4">
        <v>0</v>
      </c>
      <c r="T60" s="4">
        <v>0</v>
      </c>
    </row>
    <row r="61" spans="1:20" ht="12.75">
      <c r="A61" s="5" t="s">
        <v>31</v>
      </c>
      <c r="B61" s="5">
        <v>7.5</v>
      </c>
      <c r="C61" s="8">
        <v>7.5</v>
      </c>
      <c r="D61" s="8">
        <v>-4</v>
      </c>
      <c r="E61" s="13">
        <f t="shared" si="26"/>
        <v>33.75</v>
      </c>
      <c r="F61" s="13">
        <f t="shared" si="23"/>
        <v>30</v>
      </c>
      <c r="G61" s="10">
        <f t="shared" si="27"/>
        <v>28.6875</v>
      </c>
      <c r="H61" s="5">
        <f t="shared" si="28"/>
        <v>28.6875</v>
      </c>
      <c r="I61" s="15">
        <f t="shared" si="24"/>
        <v>-1.3125</v>
      </c>
      <c r="J61" s="17">
        <f t="shared" si="25"/>
        <v>28.6875</v>
      </c>
      <c r="K61" s="16">
        <f t="shared" si="29"/>
        <v>5.0625</v>
      </c>
      <c r="Q61" s="4" t="s">
        <v>8</v>
      </c>
      <c r="R61" s="4">
        <v>18</v>
      </c>
      <c r="S61" s="4">
        <v>3</v>
      </c>
      <c r="T61" s="4">
        <v>0</v>
      </c>
    </row>
    <row r="62" spans="1:20" ht="12.75">
      <c r="A62" s="11" t="s">
        <v>32</v>
      </c>
      <c r="B62" s="11">
        <v>9.5</v>
      </c>
      <c r="C62" s="12">
        <v>9.5</v>
      </c>
      <c r="D62" s="8">
        <v>-4</v>
      </c>
      <c r="E62" s="13">
        <f t="shared" si="26"/>
        <v>42.75</v>
      </c>
      <c r="F62" s="13">
        <f t="shared" si="23"/>
        <v>30</v>
      </c>
      <c r="G62" s="10">
        <f t="shared" si="27"/>
        <v>36.3375</v>
      </c>
      <c r="H62" s="5">
        <f t="shared" si="28"/>
        <v>36.3375</v>
      </c>
      <c r="I62" s="15">
        <f t="shared" si="24"/>
        <v>6.337499999999999</v>
      </c>
      <c r="J62" s="17">
        <f t="shared" si="25"/>
        <v>36.3375</v>
      </c>
      <c r="K62" s="16">
        <f t="shared" si="29"/>
        <v>6.412500000000001</v>
      </c>
      <c r="Q62" s="4" t="s">
        <v>9</v>
      </c>
      <c r="R62" s="4">
        <f>9*$B$9</f>
        <v>40.5</v>
      </c>
      <c r="S62" s="4">
        <f>5*$B$9</f>
        <v>22.5</v>
      </c>
      <c r="T62" s="4">
        <v>1</v>
      </c>
    </row>
    <row r="63" spans="1:20" ht="13.5" thickBot="1">
      <c r="A63" s="5" t="s">
        <v>12</v>
      </c>
      <c r="B63" s="5">
        <v>10.5</v>
      </c>
      <c r="C63" s="5">
        <v>10.5</v>
      </c>
      <c r="D63" s="8">
        <v>-4</v>
      </c>
      <c r="E63" s="13">
        <f t="shared" si="26"/>
        <v>47.25</v>
      </c>
      <c r="F63" s="13">
        <f t="shared" si="23"/>
        <v>30</v>
      </c>
      <c r="G63" s="10">
        <f t="shared" si="27"/>
        <v>40.1625</v>
      </c>
      <c r="H63" s="5">
        <f t="shared" si="28"/>
        <v>40.1625</v>
      </c>
      <c r="I63" s="15">
        <f t="shared" si="24"/>
        <v>10.162500000000001</v>
      </c>
      <c r="J63" s="18">
        <f t="shared" si="25"/>
        <v>40.1625</v>
      </c>
      <c r="K63" s="16">
        <f t="shared" si="29"/>
        <v>7.087499999999999</v>
      </c>
      <c r="Q63" s="4" t="s">
        <v>10</v>
      </c>
      <c r="R63" s="4">
        <f>10*$B$9</f>
        <v>45</v>
      </c>
      <c r="S63" s="4">
        <f>6.5*$B$9</f>
        <v>29.25</v>
      </c>
      <c r="T63" s="4">
        <v>1</v>
      </c>
    </row>
    <row r="64" spans="1:20" ht="12.75">
      <c r="A64" s="5" t="s">
        <v>13</v>
      </c>
      <c r="B64" s="5">
        <v>10.5</v>
      </c>
      <c r="C64" s="8">
        <v>10.5</v>
      </c>
      <c r="D64" s="8">
        <v>-4</v>
      </c>
      <c r="E64" s="13">
        <f t="shared" si="26"/>
        <v>47.25</v>
      </c>
      <c r="F64" s="13">
        <f t="shared" si="23"/>
        <v>30</v>
      </c>
      <c r="G64" s="10">
        <f t="shared" si="27"/>
        <v>40.1625</v>
      </c>
      <c r="H64" s="5">
        <f t="shared" si="28"/>
        <v>40.1625</v>
      </c>
      <c r="I64" s="15">
        <f t="shared" si="24"/>
        <v>10.162500000000001</v>
      </c>
      <c r="J64" s="17">
        <f t="shared" si="25"/>
        <v>40.1625</v>
      </c>
      <c r="K64" s="16">
        <f t="shared" si="29"/>
        <v>7.087499999999999</v>
      </c>
      <c r="Q64" s="4" t="s">
        <v>6</v>
      </c>
      <c r="R64" s="4">
        <v>15</v>
      </c>
      <c r="S64" s="4">
        <v>0</v>
      </c>
      <c r="T64" s="4">
        <v>0</v>
      </c>
    </row>
    <row r="65" spans="1:20" ht="12.75">
      <c r="A65" s="5" t="s">
        <v>14</v>
      </c>
      <c r="B65" s="5">
        <v>12</v>
      </c>
      <c r="C65" s="8">
        <v>12</v>
      </c>
      <c r="D65" s="8">
        <v>-4</v>
      </c>
      <c r="E65" s="13">
        <f t="shared" si="26"/>
        <v>54</v>
      </c>
      <c r="F65" s="13">
        <f t="shared" si="23"/>
        <v>30</v>
      </c>
      <c r="G65" s="10">
        <f t="shared" si="27"/>
        <v>45.9</v>
      </c>
      <c r="H65" s="5">
        <f t="shared" si="28"/>
        <v>45.9</v>
      </c>
      <c r="I65" s="15">
        <f t="shared" si="24"/>
        <v>15.899999999999999</v>
      </c>
      <c r="J65" s="17">
        <f t="shared" si="25"/>
        <v>45.9</v>
      </c>
      <c r="K65" s="16">
        <f t="shared" si="29"/>
        <v>8.100000000000001</v>
      </c>
      <c r="Q65" s="4" t="s">
        <v>7</v>
      </c>
      <c r="R65" s="4">
        <v>10</v>
      </c>
      <c r="S65" s="4">
        <v>0</v>
      </c>
      <c r="T65" s="4">
        <v>0</v>
      </c>
    </row>
    <row r="66" spans="1:20" ht="12.75">
      <c r="A66" s="5" t="s">
        <v>17</v>
      </c>
      <c r="B66" s="5"/>
      <c r="C66" s="8"/>
      <c r="D66" s="8">
        <v>-4</v>
      </c>
      <c r="E66" s="13">
        <f t="shared" si="26"/>
        <v>0</v>
      </c>
      <c r="F66" s="13">
        <f t="shared" si="23"/>
        <v>30</v>
      </c>
      <c r="G66" s="10">
        <f t="shared" si="27"/>
        <v>0</v>
      </c>
      <c r="H66" s="5">
        <f t="shared" si="28"/>
        <v>0</v>
      </c>
      <c r="I66" s="15">
        <f t="shared" si="24"/>
        <v>-30</v>
      </c>
      <c r="J66" s="17">
        <f t="shared" si="25"/>
        <v>0</v>
      </c>
      <c r="K66" s="16">
        <f t="shared" si="29"/>
        <v>0</v>
      </c>
      <c r="Q66" s="4" t="s">
        <v>8</v>
      </c>
      <c r="R66" s="4">
        <v>18</v>
      </c>
      <c r="S66" s="4">
        <v>3</v>
      </c>
      <c r="T66" s="4">
        <v>0</v>
      </c>
    </row>
    <row r="67" spans="1:20" ht="12.75">
      <c r="A67" s="11" t="s">
        <v>15</v>
      </c>
      <c r="B67" s="11">
        <v>12</v>
      </c>
      <c r="C67" s="12">
        <v>12</v>
      </c>
      <c r="D67" s="8">
        <v>-4</v>
      </c>
      <c r="E67" s="13">
        <f t="shared" si="26"/>
        <v>54</v>
      </c>
      <c r="F67" s="13">
        <f t="shared" si="23"/>
        <v>30</v>
      </c>
      <c r="G67" s="10">
        <f t="shared" si="27"/>
        <v>45.9</v>
      </c>
      <c r="H67" s="5">
        <f t="shared" si="28"/>
        <v>45.9</v>
      </c>
      <c r="I67" s="15">
        <f t="shared" si="24"/>
        <v>15.899999999999999</v>
      </c>
      <c r="J67" s="17">
        <f t="shared" si="25"/>
        <v>45.9</v>
      </c>
      <c r="K67" s="16">
        <f t="shared" si="29"/>
        <v>8.100000000000001</v>
      </c>
      <c r="Q67" s="4" t="s">
        <v>9</v>
      </c>
      <c r="R67" s="4">
        <f>9*$B$9</f>
        <v>40.5</v>
      </c>
      <c r="S67" s="4">
        <f>5*$B$9</f>
        <v>22.5</v>
      </c>
      <c r="T67" s="4">
        <v>1</v>
      </c>
    </row>
    <row r="68" spans="1:22" s="30" customFormat="1" ht="20.25" customHeight="1">
      <c r="A68" s="25"/>
      <c r="B68" s="26"/>
      <c r="C68" s="26"/>
      <c r="D68" s="26"/>
      <c r="E68" s="26"/>
      <c r="F68" s="27"/>
      <c r="G68" s="27"/>
      <c r="H68" s="28"/>
      <c r="I68" s="26"/>
      <c r="J68" s="29"/>
      <c r="K68" s="29"/>
      <c r="L68" s="29"/>
      <c r="S68" s="31"/>
      <c r="T68" s="31"/>
      <c r="U68" s="31"/>
      <c r="V68" s="31"/>
    </row>
  </sheetData>
  <mergeCells count="30">
    <mergeCell ref="Q57:T57"/>
    <mergeCell ref="R45:U45"/>
    <mergeCell ref="A28:A29"/>
    <mergeCell ref="B28:B29"/>
    <mergeCell ref="D28:D29"/>
    <mergeCell ref="E28:E29"/>
    <mergeCell ref="F28:F29"/>
    <mergeCell ref="G28:K28"/>
    <mergeCell ref="R28:U28"/>
    <mergeCell ref="F45:F46"/>
    <mergeCell ref="G45:K45"/>
    <mergeCell ref="A57:A58"/>
    <mergeCell ref="B57:B58"/>
    <mergeCell ref="D57:D58"/>
    <mergeCell ref="E57:E58"/>
    <mergeCell ref="F57:F58"/>
    <mergeCell ref="G57:K57"/>
    <mergeCell ref="A45:A46"/>
    <mergeCell ref="B45:B46"/>
    <mergeCell ref="D45:D46"/>
    <mergeCell ref="E45:E46"/>
    <mergeCell ref="I1:N7"/>
    <mergeCell ref="D12:D13"/>
    <mergeCell ref="A1:B6"/>
    <mergeCell ref="A12:A13"/>
    <mergeCell ref="B12:B13"/>
    <mergeCell ref="R12:U12"/>
    <mergeCell ref="E12:E13"/>
    <mergeCell ref="G12:K12"/>
    <mergeCell ref="F12:F13"/>
  </mergeCells>
  <dataValidations count="1">
    <dataValidation type="list" allowBlank="1" showInputMessage="1" showErrorMessage="1" sqref="A47:A56 A30:A42 A14:A27 B68 A59:A67">
      <formula1>"Nuclear, Hydro, Coal and Lignite, Combined Cycle &gt; 90, Combined Cycle  &lt;= 90, Gas Steam Super Boiler, Gas Steam Reheat Boiler, Gas Steam Non-reheat, Simple Cycle &gt; 90, Simple Cycle &lt;= 90, Diesel, Block Load, Renewable"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CBCG</cp:lastModifiedBy>
  <dcterms:created xsi:type="dcterms:W3CDTF">2004-01-09T13:00:59Z</dcterms:created>
  <dcterms:modified xsi:type="dcterms:W3CDTF">2004-01-22T20:40:32Z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-159286950</vt:i4>
  </property>
  <property fmtid="{D5CDD505-2E9C-101B-9397-08002B2CF9AE}" pid="4" name="_EmailSubje">
    <vt:lpwstr>Spreadsheet used in WMS meeting</vt:lpwstr>
  </property>
  <property fmtid="{D5CDD505-2E9C-101B-9397-08002B2CF9AE}" pid="5" name="_AuthorEma">
    <vt:lpwstr>ljohnson@ercot.com</vt:lpwstr>
  </property>
  <property fmtid="{D5CDD505-2E9C-101B-9397-08002B2CF9AE}" pid="6" name="_AuthorEmailDisplayNa">
    <vt:lpwstr>Johnson, Lori</vt:lpwstr>
  </property>
</Properties>
</file>