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ERCOT</author>
  </authors>
  <commentList>
    <comment ref="K13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 Deployments
Gas: FIP * [9.5 + (Heat Rate - 7.2)]
For Down Deployments
Gas:  FIP * [5 + (Heat Rate - 7.2)]</t>
        </r>
      </text>
    </comment>
    <comment ref="M13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Uses Local Congestion Payment calculations in Protocol Section 7.4.3 with modification to include max(0,mcpe - bid price) for down.</t>
        </r>
      </text>
    </comment>
    <comment ref="J13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Up,
Net Revenue = Resource Imbalance + OOME Payment - (MW/4 * Marginal Cost)
For Down,
Net Revenue = Resource Imbalance + OOME Payment + (MW/4 * Marginal Cost)</t>
        </r>
      </text>
    </comment>
    <comment ref="O13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Up,
Net Revenue = Resource Imbalance + OOME Payment - (MW/4 * Marginal Cost)
For Down,
Net Revenue = Resource Imbalance + OOME Payment + (MW/4 * Marginal Cost)</t>
        </r>
      </text>
    </comment>
  </commentList>
</comments>
</file>

<file path=xl/sharedStrings.xml><?xml version="1.0" encoding="utf-8"?>
<sst xmlns="http://schemas.openxmlformats.org/spreadsheetml/2006/main" count="47" uniqueCount="40">
  <si>
    <t>Unit</t>
  </si>
  <si>
    <t>HR</t>
  </si>
  <si>
    <t>Instructed MW</t>
  </si>
  <si>
    <t>Category</t>
  </si>
  <si>
    <t>A</t>
  </si>
  <si>
    <t>B</t>
  </si>
  <si>
    <t>C</t>
  </si>
  <si>
    <t>D</t>
  </si>
  <si>
    <t>Input Tables</t>
  </si>
  <si>
    <t>RCGFC for Up</t>
  </si>
  <si>
    <t>RCGFC for Down</t>
  </si>
  <si>
    <t>Nuclear</t>
  </si>
  <si>
    <t>Hydro</t>
  </si>
  <si>
    <t>Coal and Lignite</t>
  </si>
  <si>
    <t>Combined Cycle &gt; 90</t>
  </si>
  <si>
    <t>Combined Cycle &lt;= 90</t>
  </si>
  <si>
    <t>Fuel Index</t>
  </si>
  <si>
    <t>Gas Steam Non-reheat</t>
  </si>
  <si>
    <t>Simple Cycle &gt; 90</t>
  </si>
  <si>
    <t>Simple Cycle &lt;= 90</t>
  </si>
  <si>
    <t>Diesel</t>
  </si>
  <si>
    <t>Renewable</t>
  </si>
  <si>
    <t>Block Load</t>
  </si>
  <si>
    <t>MCPE</t>
  </si>
  <si>
    <t>E</t>
  </si>
  <si>
    <t>Gas?</t>
  </si>
  <si>
    <t>Resource Imbalance ($)</t>
  </si>
  <si>
    <t>RCGFC ($/MWh)</t>
  </si>
  <si>
    <t>Net Revenue ($)</t>
  </si>
  <si>
    <t>Current Generic Cost Method</t>
  </si>
  <si>
    <t>Proposed Modified Generic Cost Method</t>
  </si>
  <si>
    <t>Bid Limit ($/MWh)</t>
  </si>
  <si>
    <t>Bid Price ($/MWh)</t>
  </si>
  <si>
    <r>
      <t xml:space="preserve">Directions:
</t>
    </r>
    <r>
      <rPr>
        <sz val="10"/>
        <rFont val="Arial"/>
        <family val="2"/>
      </rPr>
      <t>1. All green cells are modifiable.</t>
    </r>
  </si>
  <si>
    <t>OOME Payment ($)</t>
  </si>
  <si>
    <t>LBE Payment ($)</t>
  </si>
  <si>
    <t>Marginal Cost ($/MWh)</t>
  </si>
  <si>
    <t>Net Payment ($)</t>
  </si>
  <si>
    <t>Net Payment (S)</t>
  </si>
  <si>
    <r>
      <t xml:space="preserve">Assumptions
</t>
    </r>
    <r>
      <rPr>
        <sz val="10"/>
        <rFont val="Arial"/>
        <family val="2"/>
      </rPr>
      <t xml:space="preserve">1.  Generic Cost calculations use PRR 371 changes.
2.  Metered Generation = Plan MW + Instructed MW
3.  For Marginal Cost calculation, assume VOM for all units of 4
4.  Instructed MW is the only deviation from Scheduled Resource
5.  For payments, negative numbers assume payment to QSE.  Positive numbers assume payment to ERCOT from QSE.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</si>
</sst>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Border="1" applyAlignment="1">
      <alignment vertical="top"/>
    </xf>
    <xf numFmtId="2" fontId="0" fillId="0" borderId="1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14.28125" style="0" customWidth="1"/>
    <col min="2" max="2" width="22.8515625" style="0" customWidth="1"/>
    <col min="4" max="5" width="13.28125" style="0" customWidth="1"/>
    <col min="6" max="6" width="15.28125" style="0" customWidth="1"/>
    <col min="7" max="7" width="15.00390625" style="0" customWidth="1"/>
    <col min="8" max="8" width="14.140625" style="0" customWidth="1"/>
    <col min="9" max="9" width="13.57421875" style="0" customWidth="1"/>
    <col min="10" max="10" width="12.421875" style="0" customWidth="1"/>
    <col min="11" max="11" width="15.421875" style="0" customWidth="1"/>
    <col min="12" max="14" width="13.28125" style="0" customWidth="1"/>
    <col min="15" max="15" width="12.421875" style="0" customWidth="1"/>
    <col min="22" max="22" width="22.28125" style="0" bestFit="1" customWidth="1"/>
    <col min="23" max="23" width="16.00390625" style="0" customWidth="1"/>
    <col min="24" max="24" width="17.7109375" style="0" customWidth="1"/>
    <col min="25" max="25" width="11.140625" style="0" customWidth="1"/>
  </cols>
  <sheetData>
    <row r="1" spans="1:14" ht="12.75" customHeight="1">
      <c r="A1" s="27" t="s">
        <v>33</v>
      </c>
      <c r="B1" s="28"/>
      <c r="H1" s="27" t="s">
        <v>39</v>
      </c>
      <c r="I1" s="41"/>
      <c r="J1" s="41"/>
      <c r="K1" s="41"/>
      <c r="L1" s="41"/>
      <c r="M1" s="43"/>
      <c r="N1" s="18"/>
    </row>
    <row r="2" spans="1:14" ht="12.75">
      <c r="A2" s="29"/>
      <c r="B2" s="30"/>
      <c r="H2" s="44"/>
      <c r="I2" s="42"/>
      <c r="J2" s="42"/>
      <c r="K2" s="42"/>
      <c r="L2" s="42"/>
      <c r="M2" s="45"/>
      <c r="N2" s="18"/>
    </row>
    <row r="3" spans="1:14" ht="12.75">
      <c r="A3" s="29"/>
      <c r="B3" s="30"/>
      <c r="H3" s="44"/>
      <c r="I3" s="42"/>
      <c r="J3" s="42"/>
      <c r="K3" s="42"/>
      <c r="L3" s="42"/>
      <c r="M3" s="45"/>
      <c r="N3" s="18"/>
    </row>
    <row r="4" spans="1:14" ht="12.75">
      <c r="A4" s="29"/>
      <c r="B4" s="30"/>
      <c r="H4" s="44"/>
      <c r="I4" s="42"/>
      <c r="J4" s="42"/>
      <c r="K4" s="42"/>
      <c r="L4" s="42"/>
      <c r="M4" s="45"/>
      <c r="N4" s="18"/>
    </row>
    <row r="5" spans="1:14" ht="12.75">
      <c r="A5" s="29"/>
      <c r="B5" s="30"/>
      <c r="H5" s="44"/>
      <c r="I5" s="42"/>
      <c r="J5" s="42"/>
      <c r="K5" s="42"/>
      <c r="L5" s="42"/>
      <c r="M5" s="45"/>
      <c r="N5" s="18"/>
    </row>
    <row r="6" spans="1:14" ht="13.5" thickBot="1">
      <c r="A6" s="31"/>
      <c r="B6" s="32"/>
      <c r="H6" s="44"/>
      <c r="I6" s="42"/>
      <c r="J6" s="42"/>
      <c r="K6" s="42"/>
      <c r="L6" s="42"/>
      <c r="M6" s="45"/>
      <c r="N6" s="18"/>
    </row>
    <row r="7" spans="8:14" ht="13.5" thickBot="1">
      <c r="H7" s="46"/>
      <c r="I7" s="47"/>
      <c r="J7" s="47"/>
      <c r="K7" s="47"/>
      <c r="L7" s="47"/>
      <c r="M7" s="48"/>
      <c r="N7" s="6"/>
    </row>
    <row r="8" spans="1:14" ht="12.75">
      <c r="A8" s="2" t="s">
        <v>23</v>
      </c>
      <c r="B8" s="5">
        <v>40</v>
      </c>
      <c r="H8" s="6"/>
      <c r="I8" s="6"/>
      <c r="J8" s="6"/>
      <c r="K8" s="6"/>
      <c r="L8" s="6"/>
      <c r="M8" s="6"/>
      <c r="N8" s="6"/>
    </row>
    <row r="9" spans="1:2" ht="12.75">
      <c r="A9" s="2" t="s">
        <v>16</v>
      </c>
      <c r="B9" s="5">
        <v>4.5</v>
      </c>
    </row>
    <row r="11" ht="13.5" thickBot="1"/>
    <row r="12" spans="1:25" ht="12.75">
      <c r="A12" s="33" t="s">
        <v>0</v>
      </c>
      <c r="B12" s="33" t="s">
        <v>3</v>
      </c>
      <c r="C12" s="33" t="s">
        <v>1</v>
      </c>
      <c r="D12" s="26" t="s">
        <v>2</v>
      </c>
      <c r="E12" s="26" t="s">
        <v>36</v>
      </c>
      <c r="F12" s="26" t="s">
        <v>26</v>
      </c>
      <c r="G12" s="35" t="s">
        <v>29</v>
      </c>
      <c r="H12" s="36"/>
      <c r="I12" s="36"/>
      <c r="J12" s="37"/>
      <c r="K12" s="38" t="s">
        <v>30</v>
      </c>
      <c r="L12" s="39"/>
      <c r="M12" s="39"/>
      <c r="N12" s="39"/>
      <c r="O12" s="40"/>
      <c r="V12" s="34" t="s">
        <v>8</v>
      </c>
      <c r="W12" s="34"/>
      <c r="X12" s="34"/>
      <c r="Y12" s="34"/>
    </row>
    <row r="13" spans="1:25" ht="26.25" customHeight="1">
      <c r="A13" s="33"/>
      <c r="B13" s="33"/>
      <c r="C13" s="33"/>
      <c r="D13" s="26"/>
      <c r="E13" s="26"/>
      <c r="F13" s="26"/>
      <c r="G13" s="9" t="s">
        <v>27</v>
      </c>
      <c r="H13" s="1" t="s">
        <v>34</v>
      </c>
      <c r="I13" s="7" t="s">
        <v>37</v>
      </c>
      <c r="J13" s="25" t="s">
        <v>28</v>
      </c>
      <c r="K13" s="9" t="s">
        <v>31</v>
      </c>
      <c r="L13" s="1" t="s">
        <v>32</v>
      </c>
      <c r="M13" s="1" t="s">
        <v>35</v>
      </c>
      <c r="N13" s="7" t="s">
        <v>38</v>
      </c>
      <c r="O13" s="25" t="s">
        <v>28</v>
      </c>
      <c r="V13" s="4" t="s">
        <v>3</v>
      </c>
      <c r="W13" s="4" t="s">
        <v>9</v>
      </c>
      <c r="X13" s="4" t="s">
        <v>10</v>
      </c>
      <c r="Y13" s="3" t="s">
        <v>25</v>
      </c>
    </row>
    <row r="14" spans="1:25" ht="12.75">
      <c r="A14" s="12" t="s">
        <v>4</v>
      </c>
      <c r="B14" s="5" t="s">
        <v>14</v>
      </c>
      <c r="C14" s="5">
        <v>7.2</v>
      </c>
      <c r="D14" s="8">
        <v>-10</v>
      </c>
      <c r="E14" s="16">
        <f>(C14*$B$9)+4</f>
        <v>36.4</v>
      </c>
      <c r="F14" s="16">
        <f>-D14/4*$B$8</f>
        <v>100</v>
      </c>
      <c r="G14" s="10">
        <f>IF(D14&gt;0,VLOOKUP(B14,$V$13:$X$24,2,FALSE),IF(D14&lt;0,VLOOKUP(B14,$V$13:$X$24,3,FALSE),0))</f>
        <v>22.5</v>
      </c>
      <c r="H14" s="19">
        <f>IF(D14&gt;0,-ABS(D14/4)*MAX(0,G14-$B$8),-ABS(D14/4)*MAX(0,$B$8-G14))</f>
        <v>-43.75</v>
      </c>
      <c r="I14" s="23">
        <f>F14+H14</f>
        <v>56.25</v>
      </c>
      <c r="J14" s="20">
        <f>IF(D14&gt;0,-H14-F14-(E14*ABS(D14/4)),IF(D14&lt;0,-H14-F14+(E14*ABS(D14/4)),0))</f>
        <v>34.75</v>
      </c>
      <c r="K14" s="10">
        <f>IF(VLOOKUP(B14,$V$13:$Y$24,4,FALSE)=0,G14,IF(D14&gt;0,$B$9*(9.5+(C14-7.2)),IF(D14&lt;0,$B$9*(5+(C14-7.2)),0)))</f>
        <v>22.5</v>
      </c>
      <c r="L14" s="5">
        <v>22.5</v>
      </c>
      <c r="M14" s="19">
        <f>IF(D14&gt;0,-ABS(D14/4)*MAX(0,L14-$B$8),-ABS(D14/4)*MAX(0,$B$8-L14))</f>
        <v>-43.75</v>
      </c>
      <c r="N14" s="23">
        <f>F14+M14</f>
        <v>56.25</v>
      </c>
      <c r="O14" s="20">
        <f>IF(D14&gt;0,-M14-F14-(E14*ABS(D14/4)),IF(D14&lt;0,-M14-F14+(E14*ABS(D14/4)),0))</f>
        <v>34.75</v>
      </c>
      <c r="V14" s="4" t="s">
        <v>11</v>
      </c>
      <c r="W14" s="4">
        <v>15</v>
      </c>
      <c r="X14" s="4">
        <v>0</v>
      </c>
      <c r="Y14" s="4">
        <v>0</v>
      </c>
    </row>
    <row r="15" spans="1:25" ht="12.75">
      <c r="A15" s="12" t="s">
        <v>5</v>
      </c>
      <c r="B15" s="5" t="s">
        <v>17</v>
      </c>
      <c r="C15" s="5">
        <v>10.8</v>
      </c>
      <c r="D15" s="8">
        <v>-10</v>
      </c>
      <c r="E15" s="16">
        <f>(C15*$B$9)+4</f>
        <v>52.6</v>
      </c>
      <c r="F15" s="16">
        <f>-D15/4*$B$8</f>
        <v>100</v>
      </c>
      <c r="G15" s="10">
        <f>IF(D15&gt;0,VLOOKUP(B15,$V$13:$X$24,2,FALSE),IF(D15&lt;0,VLOOKUP(B15,$V$13:$X$24,3,FALSE),0))</f>
        <v>47.25</v>
      </c>
      <c r="H15" s="19">
        <f>IF(D15&gt;0,-ABS(D15/4)*MAX(0,G15-$B$8),-ABS(D15/4)*MAX(0,$B$8-G15))</f>
        <v>0</v>
      </c>
      <c r="I15" s="23">
        <f>F15+H15</f>
        <v>100</v>
      </c>
      <c r="J15" s="20">
        <f>IF(D15&gt;0,-H15-F15-(E15*ABS(D15/4)),IF(D15&lt;0,-H15-F15+(E15*ABS(D15/4)),0))</f>
        <v>31.5</v>
      </c>
      <c r="K15" s="10">
        <f>IF(VLOOKUP(B15,$V$13:$Y$24,4,FALSE)=0,G15,IF(D15&gt;0,$B$9*(9.5+(C15-7.2)),IF(D15&lt;0,$B$9*(5+(C15-7.2)),0)))</f>
        <v>38.7</v>
      </c>
      <c r="L15" s="5">
        <v>38.7</v>
      </c>
      <c r="M15" s="19">
        <f>IF(D15&gt;0,-ABS(D15/4)*MAX(0,L15-$B$8),-ABS(D15/4)*MAX(0,$B$8-L15))</f>
        <v>-3.249999999999993</v>
      </c>
      <c r="N15" s="23">
        <f>F15+M15</f>
        <v>96.75</v>
      </c>
      <c r="O15" s="20">
        <f>IF(D15&gt;0,-M15-F15-(E15*ABS(D15/4)),IF(D15&lt;0,-M15-F15+(E15*ABS(D15/4)),0))</f>
        <v>34.75</v>
      </c>
      <c r="V15" s="4" t="s">
        <v>12</v>
      </c>
      <c r="W15" s="4">
        <v>10</v>
      </c>
      <c r="X15" s="4">
        <v>0</v>
      </c>
      <c r="Y15" s="4">
        <v>0</v>
      </c>
    </row>
    <row r="16" spans="1:25" ht="12.75">
      <c r="A16" s="12" t="s">
        <v>6</v>
      </c>
      <c r="B16" s="5" t="s">
        <v>14</v>
      </c>
      <c r="C16" s="5">
        <v>7.2</v>
      </c>
      <c r="D16" s="8">
        <v>10</v>
      </c>
      <c r="E16" s="16">
        <f>(C16*$B$9)+4</f>
        <v>36.4</v>
      </c>
      <c r="F16" s="16">
        <f>-D16/4*$B$8</f>
        <v>-100</v>
      </c>
      <c r="G16" s="10">
        <f>IF(D16&gt;0,VLOOKUP(B16,$V$13:$X$24,2,FALSE),IF(D16&lt;0,VLOOKUP(B16,$V$13:$X$24,3,FALSE),0))</f>
        <v>40.5</v>
      </c>
      <c r="H16" s="19">
        <f>IF(D16&gt;0,-ABS(D16/4)*MAX(0,G16-$B$8),-ABS(D16/4)*MAX(0,$B$8-G16))</f>
        <v>-1.25</v>
      </c>
      <c r="I16" s="23">
        <f>F16+H16</f>
        <v>-101.25</v>
      </c>
      <c r="J16" s="20">
        <f>IF(D16&gt;0,-H16-F16-(E16*ABS(D16/4)),IF(D16&lt;0,-H16-F16+(E16*ABS(D16/4)),0))</f>
        <v>10.25</v>
      </c>
      <c r="K16" s="10">
        <f>IF(VLOOKUP(B16,$V$13:$Y$24,4,FALSE)=0,G16,IF(D16&gt;0,$B$9*(9.5+(C16-7.2)),IF(D16&lt;0,$B$9*(5+(C16-7.2)),0)))</f>
        <v>42.75</v>
      </c>
      <c r="L16" s="5">
        <v>42.75</v>
      </c>
      <c r="M16" s="19">
        <f>IF(D16&gt;0,-ABS(D16/4)*MAX(0,L16-$B$8),-ABS(D16/4)*MAX(0,$B$8-L16))</f>
        <v>-6.875</v>
      </c>
      <c r="N16" s="23">
        <f>F16+M16</f>
        <v>-106.875</v>
      </c>
      <c r="O16" s="20">
        <f>IF(D16&gt;0,-M16-F16-(E16*ABS(D16/4)),IF(D16&lt;0,-M16-F16+(E16*ABS(D16/4)),0))</f>
        <v>15.875</v>
      </c>
      <c r="V16" s="4" t="s">
        <v>13</v>
      </c>
      <c r="W16" s="4">
        <v>18</v>
      </c>
      <c r="X16" s="4">
        <v>3</v>
      </c>
      <c r="Y16" s="4">
        <v>0</v>
      </c>
    </row>
    <row r="17" spans="1:25" ht="12.75">
      <c r="A17" s="13" t="s">
        <v>7</v>
      </c>
      <c r="B17" s="14" t="s">
        <v>17</v>
      </c>
      <c r="C17" s="14">
        <v>10.8</v>
      </c>
      <c r="D17" s="15">
        <v>10</v>
      </c>
      <c r="E17" s="16">
        <f>(C17*$B$9)+4</f>
        <v>52.6</v>
      </c>
      <c r="F17" s="16">
        <f>-D17/4*$B$8</f>
        <v>-100</v>
      </c>
      <c r="G17" s="10">
        <f>IF(D17&gt;0,VLOOKUP(B17,$V$13:$X$24,2,FALSE),IF(D17&lt;0,VLOOKUP(B17,$V$13:$X$24,3,FALSE),0))</f>
        <v>65.25</v>
      </c>
      <c r="H17" s="19">
        <f>IF(D17&gt;0,-ABS(D17/4)*MAX(0,G17-$B$8),-ABS(D17/4)*MAX(0,$B$8-G17))</f>
        <v>-63.125</v>
      </c>
      <c r="I17" s="23">
        <f>F17+H17</f>
        <v>-163.125</v>
      </c>
      <c r="J17" s="20">
        <f>IF(D17&gt;0,-H17-F17-(E17*ABS(D17/4)),IF(D17&lt;0,-H17-F17+(E17*ABS(D17/4)),0))</f>
        <v>31.625</v>
      </c>
      <c r="K17" s="10">
        <f>IF(VLOOKUP(B17,$V$13:$Y$24,4,FALSE)=0,G17,IF(D17&gt;0,$B$9*(9.5+(C17-7.2)),IF(D17&lt;0,$B$9*(5+(C17-7.2)),0)))</f>
        <v>58.95</v>
      </c>
      <c r="L17" s="5">
        <v>58.95</v>
      </c>
      <c r="M17" s="19">
        <f>IF(D17&gt;0,-ABS(D17/4)*MAX(0,L17-$B$8),-ABS(D17/4)*MAX(0,$B$8-L17))</f>
        <v>-47.37500000000001</v>
      </c>
      <c r="N17" s="23">
        <f>F17+M17</f>
        <v>-147.375</v>
      </c>
      <c r="O17" s="20">
        <f>IF(D17&gt;0,-M17-F17-(E17*ABS(D17/4)),IF(D17&lt;0,-M17-F17+(E17*ABS(D17/4)),0))</f>
        <v>15.875</v>
      </c>
      <c r="V17" s="4" t="s">
        <v>14</v>
      </c>
      <c r="W17" s="4">
        <f>9*$B$9</f>
        <v>40.5</v>
      </c>
      <c r="X17" s="4">
        <f>5*$B$9</f>
        <v>22.5</v>
      </c>
      <c r="Y17" s="4">
        <v>1</v>
      </c>
    </row>
    <row r="18" spans="1:25" ht="13.5" thickBot="1">
      <c r="A18" s="12" t="s">
        <v>24</v>
      </c>
      <c r="B18" s="5" t="s">
        <v>11</v>
      </c>
      <c r="C18" s="5"/>
      <c r="D18" s="5">
        <v>10</v>
      </c>
      <c r="E18" s="16">
        <f>(C18*$B$9)+4</f>
        <v>4</v>
      </c>
      <c r="F18" s="16">
        <f>-D18/4*$B$8</f>
        <v>-100</v>
      </c>
      <c r="G18" s="11">
        <f>IF(D18&gt;0,VLOOKUP(B18,$V$13:$X$24,2,FALSE),IF(D18&lt;0,VLOOKUP(B18,$V$13:$X$24,3,FALSE),0))</f>
        <v>15</v>
      </c>
      <c r="H18" s="21">
        <f>IF(D18&gt;0,-ABS(D18/4)*MAX(0,G18-$B$8),-ABS(D18/4)*MAX(0,$B$8-G18))</f>
        <v>0</v>
      </c>
      <c r="I18" s="24">
        <f>F18+H18</f>
        <v>-100</v>
      </c>
      <c r="J18" s="22">
        <f>IF(D18&gt;0,-H18-F18-(E18*ABS(D18/4)),IF(D18&lt;0,-H18-F18+(E18*ABS(D18/4)),0))</f>
        <v>90</v>
      </c>
      <c r="K18" s="11">
        <f>IF(VLOOKUP(B18,$V$13:$Y$24,4,FALSE)=0,G18,IF(D18&gt;0,$B$9*(9.5+(C18-7.2)),IF(D18&lt;0,$B$9*(5+(C18-7.2)),0)))</f>
        <v>15</v>
      </c>
      <c r="L18" s="17">
        <v>15</v>
      </c>
      <c r="M18" s="21">
        <f>IF(D18&gt;0,-ABS(D18/4)*MAX(0,L18-$B$8),-ABS(D18/4)*MAX(0,$B$8-L18))</f>
        <v>0</v>
      </c>
      <c r="N18" s="24">
        <f>F18+M18</f>
        <v>-100</v>
      </c>
      <c r="O18" s="22">
        <f>IF(D18&gt;0,-M18-F18-(E18*ABS(D18/4)),IF(D18&lt;0,-M18-F18+(E18*ABS(D18/4)),0))</f>
        <v>90</v>
      </c>
      <c r="V18" s="4" t="s">
        <v>15</v>
      </c>
      <c r="W18" s="4">
        <f>10*$B$9</f>
        <v>45</v>
      </c>
      <c r="X18" s="4">
        <f>6.5*$B$9</f>
        <v>29.25</v>
      </c>
      <c r="Y18" s="4">
        <v>1</v>
      </c>
    </row>
    <row r="19" spans="22:25" ht="12.75">
      <c r="V19" s="4" t="s">
        <v>17</v>
      </c>
      <c r="W19" s="4">
        <f>14.5*$B$9</f>
        <v>65.25</v>
      </c>
      <c r="X19" s="4">
        <f>10.5*$B$9</f>
        <v>47.25</v>
      </c>
      <c r="Y19" s="4">
        <v>1</v>
      </c>
    </row>
    <row r="20" spans="22:25" ht="12.75">
      <c r="V20" s="4" t="s">
        <v>18</v>
      </c>
      <c r="W20" s="4">
        <f>14*$B$9</f>
        <v>63</v>
      </c>
      <c r="X20" s="4">
        <f>10.5*$B$9</f>
        <v>47.25</v>
      </c>
      <c r="Y20" s="4">
        <v>1</v>
      </c>
    </row>
    <row r="21" spans="22:25" ht="12.75">
      <c r="V21" s="4" t="s">
        <v>19</v>
      </c>
      <c r="W21" s="4">
        <f>15*$B$9</f>
        <v>67.5</v>
      </c>
      <c r="X21" s="4">
        <f>12*$B$9</f>
        <v>54</v>
      </c>
      <c r="Y21" s="4">
        <v>1</v>
      </c>
    </row>
    <row r="22" spans="22:25" ht="12.75">
      <c r="V22" s="4" t="s">
        <v>20</v>
      </c>
      <c r="W22" s="4">
        <f>16*$B$9</f>
        <v>72</v>
      </c>
      <c r="X22" s="4">
        <f>12*$B$9</f>
        <v>54</v>
      </c>
      <c r="Y22" s="4">
        <v>0</v>
      </c>
    </row>
    <row r="23" spans="22:25" ht="12.75">
      <c r="V23" s="4" t="s">
        <v>22</v>
      </c>
      <c r="W23" s="4">
        <f>18*$B$9</f>
        <v>81</v>
      </c>
      <c r="X23" s="4">
        <v>0</v>
      </c>
      <c r="Y23" s="4">
        <v>0</v>
      </c>
    </row>
    <row r="24" spans="22:25" ht="12.75">
      <c r="V24" s="4" t="s">
        <v>21</v>
      </c>
      <c r="W24" s="4">
        <v>0</v>
      </c>
      <c r="X24" s="4">
        <v>0</v>
      </c>
      <c r="Y24" s="4">
        <v>0</v>
      </c>
    </row>
    <row r="26" ht="12.75">
      <c r="G26">
        <f>36.4/4*10</f>
        <v>91</v>
      </c>
    </row>
    <row r="35" ht="12.75">
      <c r="H35">
        <f>2.5*7.5</f>
        <v>18.75</v>
      </c>
    </row>
  </sheetData>
  <mergeCells count="11">
    <mergeCell ref="V12:Y12"/>
    <mergeCell ref="E12:E13"/>
    <mergeCell ref="G12:J12"/>
    <mergeCell ref="K12:O12"/>
    <mergeCell ref="F12:F13"/>
    <mergeCell ref="H1:M7"/>
    <mergeCell ref="D12:D13"/>
    <mergeCell ref="A1:B6"/>
    <mergeCell ref="A12:A13"/>
    <mergeCell ref="B12:B13"/>
    <mergeCell ref="C12:C13"/>
  </mergeCells>
  <dataValidations count="1">
    <dataValidation type="list" allowBlank="1" showInputMessage="1" showErrorMessage="1" sqref="B14:B18">
      <formula1>"Nuclear, Hydro, Coal and Lignite, Combined Cycle &gt; 90, Combined Cycle  &lt;= 90, Gas Steam Super Boiler, Gas Steam Reheat Boiler, Gas Steam Non-reheat, Simple Cycle &gt; 90, Simple Cycle &lt;= 90, Diesel, Block Load, Renewable"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ERCOT</cp:lastModifiedBy>
  <dcterms:created xsi:type="dcterms:W3CDTF">2004-01-09T13:00:59Z</dcterms:created>
  <dcterms:modified xsi:type="dcterms:W3CDTF">2004-01-13T13:35:56Z</dcterms:modified>
  <cp:category/>
  <cp:version/>
  <cp:contentType/>
  <cp:contentStatus/>
</cp:coreProperties>
</file>